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lun\Google Drive\Timbro\Marginal tax rate comparison\"/>
    </mc:Choice>
  </mc:AlternateContent>
  <xr:revisionPtr revIDLastSave="0" documentId="13_ncr:1_{C59365BB-2C52-4D21-B7B4-B1A267B80E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x rates" sheetId="1" r:id="rId1"/>
    <sheet name="Sorted diagram" sheetId="5" r:id="rId2"/>
    <sheet name="Sorted diagram (Europe)" sheetId="6" r:id="rId3"/>
    <sheet name="Sorted diagram (EU)" sheetId="7" r:id="rId4"/>
    <sheet name="Country groups" sheetId="3" r:id="rId5"/>
  </sheets>
  <definedNames>
    <definedName name="_xlchart.v1.0" hidden="1">'Country groups'!$D$3:$D$13</definedName>
    <definedName name="_xlchart.v1.1" hidden="1">'Country groups'!$I$15:$I$20</definedName>
    <definedName name="_xlchart.v1.2" hidden="1">'Country groups'!$I$3:$I$7</definedName>
    <definedName name="_xlchart.v1.3" hidden="1">'Country groups'!$N$4:$N$8</definedName>
    <definedName name="_xlchart.v1.4" hidden="1">'Country groups'!$S$3:$S$9</definedName>
    <definedName name="_xlchart.v1.5" hidden="1">'Country groups'!$D$4:$D$13</definedName>
    <definedName name="_xlchart.v1.6" hidden="1">'Country groups'!$I$15:$I$20</definedName>
    <definedName name="_xlchart.v1.7" hidden="1">'Country groups'!$I$3:$I$7</definedName>
    <definedName name="_xlchart.v1.8" hidden="1">'Country groups'!$N$3:$N$7</definedName>
    <definedName name="_xlchart.v1.9" hidden="1">'Country groups'!$S$3:$S$9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7" l="1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G15" i="1" l="1"/>
  <c r="G4" i="1" l="1"/>
  <c r="I4" i="1"/>
  <c r="G5" i="1"/>
  <c r="I5" i="1"/>
  <c r="C6" i="1"/>
  <c r="I6" i="1"/>
  <c r="I7" i="1"/>
  <c r="C8" i="1"/>
  <c r="I8" i="1" s="1"/>
  <c r="I9" i="1"/>
  <c r="D10" i="1"/>
  <c r="I10" i="1" s="1"/>
  <c r="I11" i="1"/>
  <c r="F12" i="1"/>
  <c r="I12" i="1" s="1"/>
  <c r="I13" i="1"/>
  <c r="G14" i="1"/>
  <c r="I14" i="1" s="1"/>
  <c r="E15" i="1"/>
  <c r="I15" i="1" s="1"/>
  <c r="E16" i="1"/>
  <c r="F16" i="1"/>
  <c r="G16" i="1"/>
  <c r="D17" i="1"/>
  <c r="I17" i="1" s="1"/>
  <c r="I18" i="1"/>
  <c r="F19" i="1"/>
  <c r="I19" i="1" s="1"/>
  <c r="G20" i="1"/>
  <c r="I20" i="1" s="1"/>
  <c r="I21" i="1"/>
  <c r="I22" i="1"/>
  <c r="C23" i="1"/>
  <c r="I23" i="1" s="1"/>
  <c r="D24" i="1"/>
  <c r="G24" i="1"/>
  <c r="D25" i="1"/>
  <c r="I25" i="1" s="1"/>
  <c r="F26" i="1"/>
  <c r="I26" i="1" s="1"/>
  <c r="D27" i="1"/>
  <c r="I27" i="1" s="1"/>
  <c r="I28" i="1"/>
  <c r="I29" i="1"/>
  <c r="I30" i="1"/>
  <c r="I31" i="1"/>
  <c r="B32" i="1"/>
  <c r="I32" i="1" s="1"/>
  <c r="G33" i="1"/>
  <c r="I34" i="1"/>
  <c r="E35" i="1"/>
  <c r="I35" i="1"/>
  <c r="G36" i="1"/>
  <c r="I36" i="1" s="1"/>
  <c r="I37" i="1"/>
  <c r="B38" i="1"/>
  <c r="C38" i="1"/>
  <c r="G38" i="1"/>
  <c r="C39" i="1"/>
  <c r="I39" i="1" s="1"/>
  <c r="I40" i="1"/>
  <c r="E41" i="1"/>
  <c r="G41" i="1"/>
  <c r="I42" i="1"/>
  <c r="I43" i="1"/>
  <c r="F44" i="1"/>
  <c r="I44" i="1" s="1"/>
  <c r="H46" i="1"/>
  <c r="E46" i="1" l="1"/>
  <c r="I41" i="1"/>
  <c r="G46" i="1"/>
  <c r="I16" i="1"/>
  <c r="B46" i="1"/>
  <c r="D46" i="1"/>
  <c r="I33" i="1"/>
  <c r="C46" i="1"/>
  <c r="I38" i="1"/>
  <c r="I24" i="1"/>
  <c r="P46" i="1"/>
  <c r="F46" i="1"/>
  <c r="I46" i="1" l="1"/>
  <c r="R46" i="1"/>
  <c r="L6" i="1"/>
  <c r="K7" i="1"/>
  <c r="L7" i="1"/>
  <c r="L8" i="1"/>
  <c r="K9" i="1"/>
  <c r="L9" i="1"/>
  <c r="L10" i="1"/>
  <c r="K11" i="1"/>
  <c r="L11" i="1"/>
  <c r="K12" i="1"/>
  <c r="K13" i="1"/>
  <c r="L13" i="1"/>
  <c r="L17" i="1"/>
  <c r="K18" i="1"/>
  <c r="L18" i="1"/>
  <c r="K19" i="1"/>
  <c r="K21" i="1"/>
  <c r="L21" i="1"/>
  <c r="K22" i="1"/>
  <c r="L22" i="1"/>
  <c r="L23" i="1"/>
  <c r="L25" i="1"/>
  <c r="K26" i="1"/>
  <c r="L27" i="1"/>
  <c r="K28" i="1"/>
  <c r="L28" i="1"/>
  <c r="K29" i="1"/>
  <c r="L29" i="1"/>
  <c r="K30" i="1"/>
  <c r="L30" i="1"/>
  <c r="K31" i="1"/>
  <c r="L31" i="1"/>
  <c r="L32" i="1"/>
  <c r="K34" i="1"/>
  <c r="L34" i="1"/>
  <c r="K37" i="1"/>
  <c r="L37" i="1"/>
  <c r="L39" i="1"/>
  <c r="K40" i="1"/>
  <c r="L40" i="1"/>
  <c r="K42" i="1"/>
  <c r="L42" i="1"/>
  <c r="K43" i="1"/>
  <c r="L43" i="1"/>
  <c r="K44" i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3" i="5"/>
  <c r="C24" i="5"/>
  <c r="C25" i="5"/>
  <c r="C26" i="5"/>
  <c r="C27" i="5"/>
  <c r="C28" i="5"/>
  <c r="C29" i="5"/>
  <c r="C31" i="5"/>
  <c r="C32" i="5"/>
  <c r="C30" i="5"/>
  <c r="C33" i="5"/>
  <c r="C34" i="5"/>
  <c r="C35" i="5"/>
  <c r="C36" i="5"/>
  <c r="C37" i="5"/>
  <c r="C38" i="5"/>
  <c r="C39" i="5"/>
  <c r="C40" i="5"/>
  <c r="C41" i="5"/>
  <c r="C42" i="5"/>
  <c r="C43" i="5"/>
  <c r="C44" i="5"/>
  <c r="C3" i="5"/>
  <c r="M6" i="1" l="1"/>
  <c r="M7" i="1"/>
  <c r="N7" i="1"/>
  <c r="M8" i="1"/>
  <c r="M9" i="1"/>
  <c r="N9" i="1"/>
  <c r="M10" i="1"/>
  <c r="M11" i="1"/>
  <c r="N11" i="1"/>
  <c r="M12" i="1"/>
  <c r="M13" i="1"/>
  <c r="N13" i="1"/>
  <c r="M17" i="1"/>
  <c r="M18" i="1"/>
  <c r="N18" i="1"/>
  <c r="M19" i="1"/>
  <c r="M21" i="1"/>
  <c r="N21" i="1"/>
  <c r="M22" i="1"/>
  <c r="N22" i="1"/>
  <c r="M23" i="1"/>
  <c r="M25" i="1"/>
  <c r="M26" i="1"/>
  <c r="M27" i="1"/>
  <c r="M28" i="1"/>
  <c r="N28" i="1"/>
  <c r="M29" i="1"/>
  <c r="N29" i="1"/>
  <c r="M30" i="1"/>
  <c r="N30" i="1"/>
  <c r="M31" i="1"/>
  <c r="N31" i="1"/>
  <c r="M32" i="1"/>
  <c r="M34" i="1"/>
  <c r="N34" i="1"/>
  <c r="M35" i="1"/>
  <c r="M37" i="1"/>
  <c r="N37" i="1"/>
  <c r="M39" i="1"/>
  <c r="M40" i="1"/>
  <c r="N40" i="1"/>
  <c r="M42" i="1"/>
  <c r="N42" i="1"/>
  <c r="M43" i="1"/>
  <c r="N43" i="1"/>
  <c r="M44" i="1"/>
  <c r="K25" i="1" l="1"/>
  <c r="N25" i="1"/>
  <c r="L26" i="1" l="1"/>
  <c r="N26" i="1"/>
  <c r="K39" i="1" l="1"/>
  <c r="N39" i="1"/>
  <c r="K27" i="1" l="1"/>
  <c r="N27" i="1"/>
  <c r="K23" i="1" l="1"/>
  <c r="N23" i="1"/>
  <c r="L24" i="1"/>
  <c r="M24" i="1"/>
  <c r="K24" i="1"/>
  <c r="N24" i="1"/>
  <c r="K20" i="1" l="1"/>
  <c r="L20" i="1"/>
  <c r="M20" i="1"/>
  <c r="N20" i="1"/>
  <c r="K6" i="1" l="1"/>
  <c r="N6" i="1"/>
  <c r="M15" i="1"/>
  <c r="K15" i="1"/>
  <c r="L15" i="1"/>
  <c r="N15" i="1"/>
  <c r="L4" i="1" l="1"/>
  <c r="K4" i="1"/>
  <c r="N4" i="1"/>
  <c r="M4" i="1"/>
  <c r="H7" i="3"/>
  <c r="H3" i="3" l="1"/>
  <c r="H4" i="3"/>
  <c r="H6" i="3"/>
  <c r="H15" i="3"/>
  <c r="H17" i="3"/>
  <c r="C27" i="3"/>
  <c r="H18" i="3"/>
  <c r="C26" i="3"/>
  <c r="C25" i="3"/>
  <c r="C24" i="3"/>
  <c r="H20" i="3"/>
  <c r="H19" i="3"/>
  <c r="B1048574" i="3"/>
  <c r="R9" i="3"/>
  <c r="R8" i="3"/>
  <c r="R7" i="3"/>
  <c r="R6" i="3"/>
  <c r="R5" i="3"/>
  <c r="R4" i="3"/>
  <c r="R3" i="3"/>
  <c r="M6" i="3"/>
  <c r="C12" i="3"/>
  <c r="M5" i="3"/>
  <c r="M4" i="3"/>
  <c r="M3" i="3"/>
  <c r="H16" i="3"/>
  <c r="C10" i="3"/>
  <c r="C8" i="3"/>
  <c r="C6" i="3"/>
  <c r="C5" i="3"/>
  <c r="C4" i="3"/>
  <c r="M11" i="3" l="1"/>
  <c r="C16" i="3"/>
  <c r="H22" i="3"/>
  <c r="N21" i="3" s="1"/>
  <c r="C32" i="3"/>
  <c r="H11" i="3"/>
  <c r="C31" i="3"/>
  <c r="H10" i="3"/>
  <c r="C15" i="3"/>
  <c r="N19" i="3" s="1"/>
  <c r="H23" i="3"/>
  <c r="H9" i="3"/>
  <c r="N20" i="3" s="1"/>
  <c r="C17" i="3"/>
  <c r="C30" i="3"/>
  <c r="N24" i="3" s="1"/>
  <c r="H24" i="3"/>
  <c r="R13" i="3"/>
  <c r="M12" i="3"/>
  <c r="R14" i="3"/>
  <c r="M10" i="3"/>
  <c r="N22" i="3" s="1"/>
  <c r="R12" i="3"/>
  <c r="K8" i="1" l="1"/>
  <c r="N8" i="1"/>
  <c r="R19" i="3"/>
  <c r="S21" i="3"/>
  <c r="R21" i="3"/>
  <c r="R23" i="3"/>
  <c r="S19" i="3"/>
  <c r="S24" i="3"/>
  <c r="R20" i="3"/>
  <c r="S20" i="3"/>
  <c r="R24" i="3"/>
  <c r="S23" i="3"/>
  <c r="N23" i="3"/>
  <c r="S22" i="3"/>
  <c r="R22" i="3"/>
  <c r="K32" i="1" l="1"/>
  <c r="N32" i="1"/>
  <c r="K17" i="1" l="1"/>
  <c r="N17" i="1"/>
  <c r="L12" i="1" l="1"/>
  <c r="N12" i="1"/>
  <c r="K10" i="1"/>
  <c r="N10" i="1"/>
  <c r="M16" i="1" l="1"/>
  <c r="K16" i="1"/>
  <c r="N16" i="1"/>
  <c r="L16" i="1"/>
  <c r="L36" i="1"/>
  <c r="K36" i="1"/>
  <c r="M36" i="1"/>
  <c r="N36" i="1"/>
  <c r="M41" i="1"/>
  <c r="B3" i="3"/>
  <c r="L7" i="3"/>
  <c r="L8" i="3"/>
  <c r="B13" i="3"/>
  <c r="B9" i="3"/>
  <c r="B28" i="3"/>
  <c r="G5" i="3"/>
  <c r="B23" i="3"/>
  <c r="G15" i="3"/>
  <c r="S43" i="1"/>
  <c r="I15" i="3" s="1"/>
  <c r="S12" i="1"/>
  <c r="D4" i="3" s="1"/>
  <c r="B4" i="3"/>
  <c r="S26" i="1"/>
  <c r="D10" i="3" s="1"/>
  <c r="B10" i="3"/>
  <c r="B26" i="3"/>
  <c r="S29" i="1"/>
  <c r="D26" i="3" s="1"/>
  <c r="L4" i="3"/>
  <c r="S23" i="1"/>
  <c r="N4" i="3" s="1"/>
  <c r="Q6" i="3"/>
  <c r="S17" i="1"/>
  <c r="S6" i="3" s="1"/>
  <c r="B12" i="3"/>
  <c r="S37" i="1"/>
  <c r="D12" i="3" s="1"/>
  <c r="G7" i="3"/>
  <c r="S40" i="1"/>
  <c r="I7" i="3" s="1"/>
  <c r="G6" i="3"/>
  <c r="S32" i="1"/>
  <c r="I6" i="3" s="1"/>
  <c r="B24" i="3"/>
  <c r="S22" i="1"/>
  <c r="D24" i="3" s="1"/>
  <c r="S15" i="1"/>
  <c r="I4" i="3" s="1"/>
  <c r="G4" i="3"/>
  <c r="S30" i="1"/>
  <c r="S8" i="3" s="1"/>
  <c r="Q8" i="3"/>
  <c r="S18" i="1"/>
  <c r="N3" i="3" s="1"/>
  <c r="L3" i="3"/>
  <c r="S6" i="1"/>
  <c r="S4" i="3" s="1"/>
  <c r="Q4" i="3"/>
  <c r="G19" i="3"/>
  <c r="S4" i="1"/>
  <c r="L6" i="3"/>
  <c r="S39" i="1"/>
  <c r="N6" i="3" s="1"/>
  <c r="S31" i="1"/>
  <c r="I18" i="3" s="1"/>
  <c r="G18" i="3"/>
  <c r="Q7" i="3"/>
  <c r="S27" i="1"/>
  <c r="S7" i="3" s="1"/>
  <c r="S13" i="1"/>
  <c r="I3" i="3" s="1"/>
  <c r="G3" i="3"/>
  <c r="B25" i="3"/>
  <c r="S24" i="1"/>
  <c r="D25" i="3" s="1"/>
  <c r="S34" i="1"/>
  <c r="N5" i="3" s="1"/>
  <c r="L5" i="3"/>
  <c r="B8" i="3"/>
  <c r="S36" i="1"/>
  <c r="D8" i="3" s="1"/>
  <c r="G16" i="3"/>
  <c r="S21" i="1"/>
  <c r="L44" i="1" l="1"/>
  <c r="N44" i="1"/>
  <c r="K33" i="1"/>
  <c r="L33" i="1"/>
  <c r="N33" i="1"/>
  <c r="M33" i="1"/>
  <c r="L19" i="1"/>
  <c r="N19" i="1"/>
  <c r="K5" i="1"/>
  <c r="L5" i="1"/>
  <c r="N5" i="1"/>
  <c r="M5" i="1"/>
  <c r="L38" i="1"/>
  <c r="M38" i="1"/>
  <c r="N38" i="1"/>
  <c r="K38" i="1"/>
  <c r="K35" i="1"/>
  <c r="L35" i="1"/>
  <c r="N35" i="1"/>
  <c r="K14" i="1"/>
  <c r="L14" i="1"/>
  <c r="M14" i="1"/>
  <c r="N14" i="1"/>
  <c r="K41" i="1"/>
  <c r="L41" i="1"/>
  <c r="N41" i="1"/>
  <c r="S41" i="1"/>
  <c r="S9" i="3" s="1"/>
  <c r="B5" i="3"/>
  <c r="S38" i="1"/>
  <c r="D27" i="3" s="1"/>
  <c r="D30" i="3" s="1"/>
  <c r="B7" i="3"/>
  <c r="I19" i="3"/>
  <c r="Q5" i="3"/>
  <c r="S16" i="1"/>
  <c r="S5" i="3" s="1"/>
  <c r="G10" i="3"/>
  <c r="B27" i="3"/>
  <c r="G9" i="3"/>
  <c r="G11" i="3"/>
  <c r="S19" i="1"/>
  <c r="D5" i="3" s="1"/>
  <c r="I10" i="3"/>
  <c r="I9" i="3"/>
  <c r="O20" i="3" s="1"/>
  <c r="I11" i="3"/>
  <c r="L11" i="3"/>
  <c r="L10" i="3"/>
  <c r="M22" i="3" s="1"/>
  <c r="L12" i="3"/>
  <c r="N10" i="3"/>
  <c r="N12" i="3"/>
  <c r="N11" i="3"/>
  <c r="I16" i="3"/>
  <c r="L46" i="1" l="1"/>
  <c r="Q46" i="1"/>
  <c r="O46" i="1"/>
  <c r="B6" i="3"/>
  <c r="B16" i="3" s="1"/>
  <c r="Q3" i="3"/>
  <c r="N46" i="1"/>
  <c r="M46" i="1"/>
  <c r="S5" i="1"/>
  <c r="K46" i="1"/>
  <c r="S33" i="1"/>
  <c r="D6" i="3" s="1"/>
  <c r="D15" i="3" s="1"/>
  <c r="O19" i="3" s="1"/>
  <c r="S44" i="1"/>
  <c r="I17" i="3" s="1"/>
  <c r="Q9" i="3"/>
  <c r="G17" i="3"/>
  <c r="B11" i="3"/>
  <c r="Q22" i="3"/>
  <c r="D31" i="3"/>
  <c r="Q20" i="3"/>
  <c r="T20" i="3"/>
  <c r="D32" i="3"/>
  <c r="G20" i="3"/>
  <c r="S8" i="1"/>
  <c r="U20" i="3"/>
  <c r="P20" i="3"/>
  <c r="M20" i="3"/>
  <c r="B30" i="3"/>
  <c r="B32" i="3"/>
  <c r="B31" i="3"/>
  <c r="O22" i="3"/>
  <c r="U22" i="3"/>
  <c r="T22" i="3"/>
  <c r="P22" i="3"/>
  <c r="J39" i="1"/>
  <c r="J41" i="1"/>
  <c r="J35" i="1"/>
  <c r="J29" i="1"/>
  <c r="J13" i="1"/>
  <c r="J21" i="1"/>
  <c r="J26" i="1"/>
  <c r="J10" i="1"/>
  <c r="J37" i="1"/>
  <c r="J14" i="1"/>
  <c r="J40" i="1"/>
  <c r="J25" i="1"/>
  <c r="J42" i="1"/>
  <c r="J28" i="1"/>
  <c r="J22" i="1"/>
  <c r="J6" i="1"/>
  <c r="J17" i="1"/>
  <c r="J12" i="1"/>
  <c r="J8" i="1"/>
  <c r="J27" i="1"/>
  <c r="J5" i="1"/>
  <c r="J7" i="1"/>
  <c r="J11" i="1"/>
  <c r="J31" i="1"/>
  <c r="J9" i="1"/>
  <c r="J16" i="1"/>
  <c r="J15" i="1"/>
  <c r="J36" i="1"/>
  <c r="J20" i="1"/>
  <c r="J30" i="1"/>
  <c r="J34" i="1"/>
  <c r="J33" i="1"/>
  <c r="J23" i="1"/>
  <c r="J19" i="1"/>
  <c r="J32" i="1"/>
  <c r="J44" i="1"/>
  <c r="J38" i="1"/>
  <c r="J43" i="1"/>
  <c r="J4" i="1"/>
  <c r="J18" i="1"/>
  <c r="J24" i="1"/>
  <c r="O24" i="3"/>
  <c r="S3" i="3" l="1"/>
  <c r="Q14" i="3"/>
  <c r="B15" i="3"/>
  <c r="M19" i="3" s="1"/>
  <c r="D17" i="3"/>
  <c r="U19" i="3" s="1"/>
  <c r="D16" i="3"/>
  <c r="T19" i="3" s="1"/>
  <c r="Q12" i="3"/>
  <c r="M23" i="3" s="1"/>
  <c r="E16" i="3"/>
  <c r="Q13" i="3"/>
  <c r="B17" i="3"/>
  <c r="G22" i="3"/>
  <c r="G23" i="3"/>
  <c r="G24" i="3"/>
  <c r="Q24" i="3"/>
  <c r="M24" i="3"/>
  <c r="I20" i="3"/>
  <c r="P24" i="3"/>
  <c r="Q19" i="3" l="1"/>
  <c r="P19" i="3"/>
  <c r="Q23" i="3"/>
  <c r="S14" i="3"/>
  <c r="S12" i="3"/>
  <c r="S13" i="3"/>
  <c r="P23" i="3"/>
  <c r="P21" i="3"/>
  <c r="I23" i="3"/>
  <c r="I24" i="3"/>
  <c r="I22" i="3"/>
  <c r="Q21" i="3"/>
  <c r="M21" i="3"/>
  <c r="U23" i="3" l="1"/>
  <c r="O23" i="3"/>
  <c r="T23" i="3"/>
  <c r="O21" i="3"/>
  <c r="U21" i="3"/>
  <c r="T21" i="3"/>
</calcChain>
</file>

<file path=xl/sharedStrings.xml><?xml version="1.0" encoding="utf-8"?>
<sst xmlns="http://schemas.openxmlformats.org/spreadsheetml/2006/main" count="298" uniqueCount="90">
  <si>
    <t>TAX RATES</t>
  </si>
  <si>
    <t>Income tax</t>
  </si>
  <si>
    <t>Employees' social contributions</t>
  </si>
  <si>
    <t>Country</t>
  </si>
  <si>
    <t>Central</t>
  </si>
  <si>
    <t>Local/regional</t>
  </si>
  <si>
    <t>Surtaxes</t>
  </si>
  <si>
    <t>Deductible</t>
  </si>
  <si>
    <t>Payroll tax</t>
  </si>
  <si>
    <t>Consumption tax (average)</t>
  </si>
  <si>
    <t>Australia</t>
  </si>
  <si>
    <t>OECD</t>
  </si>
  <si>
    <t>Austria</t>
  </si>
  <si>
    <t>Belgium</t>
  </si>
  <si>
    <t>Bulgaria</t>
  </si>
  <si>
    <t>Canada</t>
  </si>
  <si>
    <t>Chile</t>
  </si>
  <si>
    <t>Croatia</t>
  </si>
  <si>
    <t>Cyprus</t>
  </si>
  <si>
    <t>Czech Republic</t>
  </si>
  <si>
    <t>EU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</si>
  <si>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</si>
  <si>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</si>
  <si>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</si>
  <si>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</si>
  <si>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</si>
  <si>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</si>
  <si>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</si>
  <si>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</si>
  <si>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</si>
  <si>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</si>
  <si>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</si>
  <si>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</si>
  <si>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Latvia</t>
  </si>
  <si>
    <t>Lithuania</t>
  </si>
  <si>
    <t>Luxembourg</t>
  </si>
  <si>
    <t>Malta</t>
  </si>
  <si>
    <t>Mexico</t>
  </si>
  <si>
    <t>Netherlands</t>
  </si>
  <si>
    <t>New Zealand</t>
  </si>
  <si>
    <t>Norway</t>
  </si>
  <si>
    <t>Poland</t>
  </si>
  <si>
    <t>Portugal</t>
  </si>
  <si>
    <t>Romania</t>
  </si>
  <si>
    <t>Slovakia</t>
  </si>
  <si>
    <t>Slovenia</t>
  </si>
  <si>
    <t>South Korea</t>
  </si>
  <si>
    <t>Spain</t>
  </si>
  <si>
    <t>Sweden</t>
  </si>
  <si>
    <t>Switzerland</t>
  </si>
  <si>
    <t>Turkey</t>
  </si>
  <si>
    <t>United Kingdom</t>
  </si>
  <si>
    <t>United States</t>
  </si>
  <si>
    <t>Effective marginal tax rate</t>
  </si>
  <si>
    <t>Rank</t>
  </si>
  <si>
    <t>Nondeductible</t>
  </si>
  <si>
    <t>Change</t>
  </si>
  <si>
    <t>Average</t>
  </si>
  <si>
    <t>Kolumn1</t>
  </si>
  <si>
    <t>2019</t>
  </si>
  <si>
    <t>Other</t>
  </si>
  <si>
    <t>Northern Europe</t>
  </si>
  <si>
    <t>Southern Europe</t>
  </si>
  <si>
    <t>Western Europe</t>
  </si>
  <si>
    <t>Max</t>
  </si>
  <si>
    <t>Min</t>
  </si>
  <si>
    <t>Ex-Communist</t>
  </si>
  <si>
    <t>Nordics</t>
  </si>
  <si>
    <t>Max 2019</t>
  </si>
  <si>
    <t>Max 2016</t>
  </si>
  <si>
    <t>2016</t>
  </si>
  <si>
    <t>Min 2019</t>
  </si>
  <si>
    <t>Min 2016</t>
  </si>
  <si>
    <t>Max 20192</t>
  </si>
  <si>
    <t>Min 20193</t>
  </si>
  <si>
    <t>Tax rates</t>
  </si>
  <si>
    <t>Anglo-Saxon</t>
  </si>
  <si>
    <t>Effective marginal tax rate 2019</t>
  </si>
  <si>
    <t>Consumption tax</t>
  </si>
  <si>
    <t>Rank and country</t>
  </si>
  <si>
    <t>Contribution to the effective marginal tax rate</t>
  </si>
  <si>
    <t>COMPOSITION OF THE EFFECTIVE MARGINAL TAX RATE</t>
  </si>
  <si>
    <t>Payroll tax (employer social security contribution)</t>
  </si>
  <si>
    <t>COMPARISON WITH 2016</t>
  </si>
  <si>
    <t>Effective marginal tax rate 2016</t>
  </si>
  <si>
    <t>Change 2016-2019</t>
  </si>
  <si>
    <t>MEMBERSHIPS</t>
  </si>
  <si>
    <t>Ex-communist</t>
  </si>
  <si>
    <t xml:space="preserve">Europe </t>
  </si>
  <si>
    <t>Employee social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</si>
</sst>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0" borderId="0"/>
    <xf numFmtId="0" fontId="2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0" fillId="0" borderId="0" xfId="0"/>
    <xf numFmtId="10" fontId="0" fillId="0" borderId="0" xfId="1" applyNumberFormat="1" applyFont="1"/>
    <xf numFmtId="0" fontId="4" fillId="0" borderId="0" xfId="0" applyFont="1"/>
    <xf numFmtId="10" fontId="4" fillId="0" borderId="0" xfId="1" applyNumberFormat="1" applyFont="1" applyAlignment="1"/>
    <xf numFmtId="9" fontId="3" fillId="0" borderId="0" xfId="42" applyNumberFormat="1"/>
    <xf numFmtId="10" fontId="4" fillId="0" borderId="0" xfId="1" applyNumberFormat="1" applyFont="1" applyBorder="1" applyAlignment="1"/>
    <xf numFmtId="10" fontId="4" fillId="0" borderId="0" xfId="1" applyNumberFormat="1" applyFont="1" applyFill="1" applyBorder="1" applyAlignment="1"/>
    <xf numFmtId="10" fontId="4" fillId="0" borderId="0" xfId="0" applyNumberFormat="1" applyFont="1" applyAlignment="1"/>
    <xf numFmtId="0" fontId="5" fillId="0" borderId="0" xfId="0" applyFont="1" applyAlignment="1"/>
    <xf numFmtId="10" fontId="0" fillId="0" borderId="0" xfId="0" applyNumberFormat="1" applyFont="1" applyAlignment="1"/>
    <xf numFmtId="10" fontId="0" fillId="0" borderId="0" xfId="1" applyNumberFormat="1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33" borderId="0" xfId="0" applyFont="1" applyFill="1" applyAlignment="1"/>
    <xf numFmtId="9" fontId="3" fillId="0" borderId="0" xfId="42" applyNumberFormat="1" applyFill="1"/>
    <xf numFmtId="0" fontId="6" fillId="0" borderId="0" xfId="0" applyFont="1" applyFill="1" applyAlignment="1"/>
    <xf numFmtId="10" fontId="4" fillId="0" borderId="0" xfId="0" applyNumberFormat="1" applyFont="1" applyBorder="1" applyAlignment="1"/>
    <xf numFmtId="10" fontId="5" fillId="0" borderId="0" xfId="0" applyNumberFormat="1" applyFont="1" applyBorder="1" applyAlignment="1"/>
    <xf numFmtId="9" fontId="4" fillId="0" borderId="0" xfId="0" applyNumberFormat="1" applyFont="1" applyBorder="1" applyAlignment="1"/>
    <xf numFmtId="10" fontId="3" fillId="0" borderId="0" xfId="42" applyNumberFormat="1" applyFill="1"/>
    <xf numFmtId="0" fontId="4" fillId="0" borderId="0" xfId="1" applyNumberFormat="1" applyFont="1" applyAlignment="1"/>
    <xf numFmtId="10" fontId="0" fillId="0" borderId="0" xfId="0" applyNumberFormat="1"/>
    <xf numFmtId="0" fontId="6" fillId="34" borderId="0" xfId="0" applyFont="1" applyFill="1" applyAlignment="1"/>
    <xf numFmtId="0" fontId="6" fillId="34" borderId="0" xfId="0" applyFont="1" applyFill="1"/>
    <xf numFmtId="0" fontId="4" fillId="34" borderId="0" xfId="0" applyFont="1" applyFill="1" applyAlignment="1"/>
    <xf numFmtId="0" fontId="5" fillId="35" borderId="0" xfId="0" applyFont="1" applyFill="1" applyAlignment="1"/>
    <xf numFmtId="0" fontId="4" fillId="35" borderId="0" xfId="0" applyFont="1" applyFill="1" applyAlignment="1"/>
    <xf numFmtId="0" fontId="5" fillId="36" borderId="0" xfId="0" applyFont="1" applyFill="1" applyAlignment="1"/>
    <xf numFmtId="0" fontId="4" fillId="36" borderId="0" xfId="0" applyFont="1" applyFill="1" applyAlignment="1"/>
    <xf numFmtId="0" fontId="4" fillId="33" borderId="0" xfId="0" applyFont="1" applyFill="1" applyAlignment="1"/>
    <xf numFmtId="165" fontId="4" fillId="0" borderId="0" xfId="0" applyNumberFormat="1" applyFont="1" applyAlignment="1"/>
    <xf numFmtId="165" fontId="0" fillId="0" borderId="0" xfId="0" applyNumberFormat="1" applyFont="1" applyAlignment="1"/>
    <xf numFmtId="0" fontId="4" fillId="0" borderId="0" xfId="0" applyFont="1" applyFill="1"/>
    <xf numFmtId="0" fontId="6" fillId="0" borderId="0" xfId="0" applyFont="1" applyAlignment="1">
      <alignment horizontal="left"/>
    </xf>
  </cellXfs>
  <cellStyles count="86">
    <cellStyle name="20 % - Dekorfärg1" xfId="19" builtinId="30" customBuiltin="1"/>
    <cellStyle name="20 % - Dekorfärg1 2" xfId="47" xr:uid="{00000000-0005-0000-0000-000000000000}"/>
    <cellStyle name="20 % - Dekorfärg1 3" xfId="68" xr:uid="{00000000-0005-0000-0000-000001000000}"/>
    <cellStyle name="20 % - Dekorfärg2" xfId="23" builtinId="34" customBuiltin="1"/>
    <cellStyle name="20 % - Dekorfärg2 2" xfId="50" xr:uid="{00000000-0005-0000-0000-000002000000}"/>
    <cellStyle name="20 % - Dekorfärg2 3" xfId="71" xr:uid="{00000000-0005-0000-0000-000003000000}"/>
    <cellStyle name="20 % - Dekorfärg3" xfId="27" builtinId="38" customBuiltin="1"/>
    <cellStyle name="20 % - Dekorfärg3 2" xfId="53" xr:uid="{00000000-0005-0000-0000-000004000000}"/>
    <cellStyle name="20 % - Dekorfärg3 3" xfId="74" xr:uid="{00000000-0005-0000-0000-000005000000}"/>
    <cellStyle name="20 % - Dekorfärg4" xfId="31" builtinId="42" customBuiltin="1"/>
    <cellStyle name="20 % - Dekorfärg4 2" xfId="56" xr:uid="{00000000-0005-0000-0000-000006000000}"/>
    <cellStyle name="20 % - Dekorfärg4 3" xfId="77" xr:uid="{00000000-0005-0000-0000-000007000000}"/>
    <cellStyle name="20 % - Dekorfärg5" xfId="35" builtinId="46" customBuiltin="1"/>
    <cellStyle name="20 % - Dekorfärg5 2" xfId="59" xr:uid="{00000000-0005-0000-0000-000008000000}"/>
    <cellStyle name="20 % - Dekorfärg5 3" xfId="80" xr:uid="{00000000-0005-0000-0000-000009000000}"/>
    <cellStyle name="20 % - Dekorfärg6" xfId="39" builtinId="50" customBuiltin="1"/>
    <cellStyle name="20 % - Dekorfärg6 2" xfId="62" xr:uid="{00000000-0005-0000-0000-00000A000000}"/>
    <cellStyle name="20 % - Dekorfärg6 3" xfId="83" xr:uid="{00000000-0005-0000-0000-00000B000000}"/>
    <cellStyle name="40 % - Dekorfärg1" xfId="20" builtinId="31" customBuiltin="1"/>
    <cellStyle name="40 % - Dekorfärg1 2" xfId="48" xr:uid="{00000000-0005-0000-0000-000012000000}"/>
    <cellStyle name="40 % - Dekorfärg1 3" xfId="69" xr:uid="{00000000-0005-0000-0000-000013000000}"/>
    <cellStyle name="40 % - Dekorfärg2" xfId="24" builtinId="35" customBuiltin="1"/>
    <cellStyle name="40 % - Dekorfärg2 2" xfId="51" xr:uid="{00000000-0005-0000-0000-000014000000}"/>
    <cellStyle name="40 % - Dekorfärg2 3" xfId="72" xr:uid="{00000000-0005-0000-0000-000015000000}"/>
    <cellStyle name="40 % - Dekorfärg3" xfId="28" builtinId="39" customBuiltin="1"/>
    <cellStyle name="40 % - Dekorfärg3 2" xfId="54" xr:uid="{00000000-0005-0000-0000-000016000000}"/>
    <cellStyle name="40 % - Dekorfärg3 3" xfId="75" xr:uid="{00000000-0005-0000-0000-000017000000}"/>
    <cellStyle name="40 % - Dekorfärg4" xfId="32" builtinId="43" customBuiltin="1"/>
    <cellStyle name="40 % - Dekorfärg4 2" xfId="57" xr:uid="{00000000-0005-0000-0000-000018000000}"/>
    <cellStyle name="40 % - Dekorfärg4 3" xfId="78" xr:uid="{00000000-0005-0000-0000-000019000000}"/>
    <cellStyle name="40 % - Dekorfärg5" xfId="36" builtinId="47" customBuiltin="1"/>
    <cellStyle name="40 % - Dekorfärg5 2" xfId="60" xr:uid="{00000000-0005-0000-0000-00001A000000}"/>
    <cellStyle name="40 % - Dekorfärg5 3" xfId="81" xr:uid="{00000000-0005-0000-0000-00001B000000}"/>
    <cellStyle name="40 % - Dekorfärg6" xfId="40" builtinId="51" customBuiltin="1"/>
    <cellStyle name="40 % - Dekorfärg6 2" xfId="63" xr:uid="{00000000-0005-0000-0000-00001C000000}"/>
    <cellStyle name="40 % - Dekorfärg6 3" xfId="84" xr:uid="{00000000-0005-0000-0000-00001D000000}"/>
    <cellStyle name="60 % - Dekorfärg1" xfId="21" builtinId="32" customBuiltin="1"/>
    <cellStyle name="60 % - Dekorfärg1 2" xfId="49" xr:uid="{00000000-0005-0000-0000-000024000000}"/>
    <cellStyle name="60 % - Dekorfärg1 3" xfId="70" xr:uid="{00000000-0005-0000-0000-000025000000}"/>
    <cellStyle name="60 % - Dekorfärg2" xfId="25" builtinId="36" customBuiltin="1"/>
    <cellStyle name="60 % - Dekorfärg2 2" xfId="52" xr:uid="{00000000-0005-0000-0000-000026000000}"/>
    <cellStyle name="60 % - Dekorfärg2 3" xfId="73" xr:uid="{00000000-0005-0000-0000-000027000000}"/>
    <cellStyle name="60 % - Dekorfärg3" xfId="29" builtinId="40" customBuiltin="1"/>
    <cellStyle name="60 % - Dekorfärg3 2" xfId="55" xr:uid="{00000000-0005-0000-0000-000028000000}"/>
    <cellStyle name="60 % - Dekorfärg3 3" xfId="76" xr:uid="{00000000-0005-0000-0000-000029000000}"/>
    <cellStyle name="60 % - Dekorfärg4" xfId="33" builtinId="44" customBuiltin="1"/>
    <cellStyle name="60 % - Dekorfärg4 2" xfId="58" xr:uid="{00000000-0005-0000-0000-00002A000000}"/>
    <cellStyle name="60 % - Dekorfärg4 3" xfId="79" xr:uid="{00000000-0005-0000-0000-00002B000000}"/>
    <cellStyle name="60 % - Dekorfärg5" xfId="37" builtinId="48" customBuiltin="1"/>
    <cellStyle name="60 % - Dekorfärg5 2" xfId="61" xr:uid="{00000000-0005-0000-0000-00002C000000}"/>
    <cellStyle name="60 % - Dekorfärg5 3" xfId="82" xr:uid="{00000000-0005-0000-0000-00002D000000}"/>
    <cellStyle name="60 % - Dekorfärg6" xfId="41" builtinId="52" customBuiltin="1"/>
    <cellStyle name="60 % - Dekorfärg6 2" xfId="64" xr:uid="{00000000-0005-0000-0000-00002E000000}"/>
    <cellStyle name="60 % - Dekorfärg6 3" xfId="85" xr:uid="{00000000-0005-0000-0000-00002F000000}"/>
    <cellStyle name="Anteckning 2" xfId="46" xr:uid="{00000000-0005-0000-0000-00003C000000}"/>
    <cellStyle name="Anteckning 3" xfId="43" xr:uid="{00000000-0005-0000-0000-00003D000000}"/>
    <cellStyle name="Anteckning 4" xfId="67" xr:uid="{00000000-0005-0000-0000-00003E000000}"/>
    <cellStyle name="Beräkning" xfId="12" builtinId="22" customBuiltin="1"/>
    <cellStyle name="Bra" xfId="7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8" builtinId="27" customBuiltin="1"/>
    <cellStyle name="Förklarande text" xfId="16" builtinId="53" customBuiltin="1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45" xr:uid="{00000000-0005-0000-0000-00004D000000}"/>
    <cellStyle name="Normal 3" xfId="65" xr:uid="{00000000-0005-0000-0000-00004E000000}"/>
    <cellStyle name="Normal 4" xfId="42" xr:uid="{00000000-0005-0000-0000-00004F000000}"/>
    <cellStyle name="Procent" xfId="1" builtinId="5"/>
    <cellStyle name="Procent 2" xfId="44" xr:uid="{00000000-0005-0000-0000-000052000000}"/>
    <cellStyle name="Procent 3" xfId="66" xr:uid="{00000000-0005-0000-0000-000053000000}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7" builtinId="25" customBuiltin="1"/>
    <cellStyle name="Utdata" xfId="11" builtinId="21" customBuiltin="1"/>
    <cellStyle name="Varningstext" xfId="15" builtinId="11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06098154541775"/>
          <c:y val="2.1819795106256878E-2"/>
          <c:w val="0.66760572606067226"/>
          <c:h val="0.935080585894505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'Sorted diagram'!$D$2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'Sorted diagram'!$C$3:$C$44</c:f>
              <c:strCache>
                <c:ptCount val="4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Japan</c:v>
                </c:pt>
                <c:pt idx="13">
                  <c:v>14. Netherlands</c:v>
                </c:pt>
                <c:pt idx="14">
                  <c:v>15. Luxembourg</c:v>
                </c:pt>
                <c:pt idx="15">
                  <c:v>16. United Kingdom</c:v>
                </c:pt>
                <c:pt idx="16">
                  <c:v>17. Iceland</c:v>
                </c:pt>
                <c:pt idx="17">
                  <c:v>18. Israel</c:v>
                </c:pt>
                <c:pt idx="18">
                  <c:v>19. Hungary</c:v>
                </c:pt>
                <c:pt idx="19">
                  <c:v>Average</c:v>
                </c:pt>
                <c:pt idx="20">
                  <c:v>20. Canada</c:v>
                </c:pt>
                <c:pt idx="21">
                  <c:v>21. Germany</c:v>
                </c:pt>
                <c:pt idx="22">
                  <c:v>22. Estonia</c:v>
                </c:pt>
                <c:pt idx="23">
                  <c:v>23. Spain</c:v>
                </c:pt>
                <c:pt idx="24">
                  <c:v>24. Italy</c:v>
                </c:pt>
                <c:pt idx="25">
                  <c:v>25. Australia</c:v>
                </c:pt>
                <c:pt idx="26">
                  <c:v>26. South Korea</c:v>
                </c:pt>
                <c:pt idx="27">
                  <c:v>27. Poland</c:v>
                </c:pt>
                <c:pt idx="28">
                  <c:v>28. Romania</c:v>
                </c:pt>
                <c:pt idx="29">
                  <c:v>29. Latvia</c:v>
                </c:pt>
                <c:pt idx="30">
                  <c:v>30. Malta</c:v>
                </c:pt>
                <c:pt idx="31">
                  <c:v>31. Czech Republic</c:v>
                </c:pt>
                <c:pt idx="32">
                  <c:v>32. United States</c:v>
                </c:pt>
                <c:pt idx="33">
                  <c:v>33. Cyprus</c:v>
                </c:pt>
                <c:pt idx="34">
                  <c:v>34. Switzerland</c:v>
                </c:pt>
                <c:pt idx="35">
                  <c:v>35. Turkey</c:v>
                </c:pt>
                <c:pt idx="36">
                  <c:v>36. Chile</c:v>
                </c:pt>
                <c:pt idx="37">
                  <c:v>37. Slovakia</c:v>
                </c:pt>
                <c:pt idx="38">
                  <c:v>38. Lithuania</c:v>
                </c:pt>
                <c:pt idx="39">
                  <c:v>39. New Zealand</c:v>
                </c:pt>
                <c:pt idx="40">
                  <c:v>40. Mexico</c:v>
                </c:pt>
                <c:pt idx="41">
                  <c:v>41. Bulgaria</c:v>
                </c:pt>
              </c:strCache>
            </c:strRef>
          </c:cat>
          <c:val>
            <c:numRef>
              <c:f>'Sorted diagram'!$D$3:$D$44</c:f>
              <c:numCache>
                <c:formatCode>0.00%</c:formatCode>
                <c:ptCount val="42"/>
                <c:pt idx="0">
                  <c:v>0.45799726069091468</c:v>
                </c:pt>
                <c:pt idx="1">
                  <c:v>0.33548664944013784</c:v>
                </c:pt>
                <c:pt idx="2">
                  <c:v>0.36582671281365531</c:v>
                </c:pt>
                <c:pt idx="3">
                  <c:v>0.38117171717171716</c:v>
                </c:pt>
                <c:pt idx="4">
                  <c:v>0.3810671926635823</c:v>
                </c:pt>
                <c:pt idx="5">
                  <c:v>0.37068557919621747</c:v>
                </c:pt>
                <c:pt idx="6">
                  <c:v>0.47886000000000001</c:v>
                </c:pt>
                <c:pt idx="7">
                  <c:v>0.51449953227315259</c:v>
                </c:pt>
                <c:pt idx="8">
                  <c:v>0.43262730959891849</c:v>
                </c:pt>
                <c:pt idx="9">
                  <c:v>0.36463519313304715</c:v>
                </c:pt>
                <c:pt idx="10">
                  <c:v>0.33805309734513278</c:v>
                </c:pt>
                <c:pt idx="11">
                  <c:v>0.55000000000000004</c:v>
                </c:pt>
                <c:pt idx="12">
                  <c:v>0.55121222452811536</c:v>
                </c:pt>
                <c:pt idx="13">
                  <c:v>0.51749999999999996</c:v>
                </c:pt>
                <c:pt idx="14">
                  <c:v>0.45779999999999998</c:v>
                </c:pt>
                <c:pt idx="15">
                  <c:v>0.39543057996485065</c:v>
                </c:pt>
                <c:pt idx="16">
                  <c:v>0.43275620028076744</c:v>
                </c:pt>
                <c:pt idx="17">
                  <c:v>0.5</c:v>
                </c:pt>
                <c:pt idx="18">
                  <c:v>0.1276595744680851</c:v>
                </c:pt>
                <c:pt idx="19">
                  <c:v>0.36970271359190587</c:v>
                </c:pt>
                <c:pt idx="20">
                  <c:v>0.50456153846153851</c:v>
                </c:pt>
                <c:pt idx="21">
                  <c:v>0.47475000000000001</c:v>
                </c:pt>
                <c:pt idx="22">
                  <c:v>0.14708520179372198</c:v>
                </c:pt>
                <c:pt idx="23">
                  <c:v>0.4710588235294117</c:v>
                </c:pt>
                <c:pt idx="24">
                  <c:v>0.4723</c:v>
                </c:pt>
                <c:pt idx="25">
                  <c:v>0.42646449090801403</c:v>
                </c:pt>
                <c:pt idx="26">
                  <c:v>0.44128654970760228</c:v>
                </c:pt>
                <c:pt idx="27">
                  <c:v>0.33829110875638185</c:v>
                </c:pt>
                <c:pt idx="28">
                  <c:v>6.3569682151589244E-2</c:v>
                </c:pt>
                <c:pt idx="29">
                  <c:v>0.27484716157205236</c:v>
                </c:pt>
                <c:pt idx="30">
                  <c:v>0.35</c:v>
                </c:pt>
                <c:pt idx="31">
                  <c:v>0.22</c:v>
                </c:pt>
                <c:pt idx="32">
                  <c:v>0.41478560867422376</c:v>
                </c:pt>
                <c:pt idx="33">
                  <c:v>0.35</c:v>
                </c:pt>
                <c:pt idx="34">
                  <c:v>0.30280414201183431</c:v>
                </c:pt>
                <c:pt idx="35">
                  <c:v>0.33970588235294114</c:v>
                </c:pt>
                <c:pt idx="36">
                  <c:v>0.35492901419716055</c:v>
                </c:pt>
                <c:pt idx="37">
                  <c:v>0.21660649819494582</c:v>
                </c:pt>
                <c:pt idx="38">
                  <c:v>0.27</c:v>
                </c:pt>
                <c:pt idx="39">
                  <c:v>0.33</c:v>
                </c:pt>
                <c:pt idx="40">
                  <c:v>0.34149673138842812</c:v>
                </c:pt>
                <c:pt idx="4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F-4911-BCF6-4C971E5AFEA4}"/>
            </c:ext>
          </c:extLst>
        </c:ser>
        <c:ser>
          <c:idx val="4"/>
          <c:order val="1"/>
          <c:tx>
            <c:strRef>
              <c:f>'Sorted diagram'!$E$2</c:f>
              <c:strCache>
                <c:ptCount val="1"/>
                <c:pt idx="0">
                  <c:v>Employees' social contributions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'Sorted diagram'!$E$3:$E$44</c:f>
              <c:numCache>
                <c:formatCode>0.00%</c:formatCode>
                <c:ptCount val="42"/>
                <c:pt idx="0">
                  <c:v>0</c:v>
                </c:pt>
                <c:pt idx="1">
                  <c:v>0.19035314384151594</c:v>
                </c:pt>
                <c:pt idx="2">
                  <c:v>0.10280814913867695</c:v>
                </c:pt>
                <c:pt idx="3">
                  <c:v>8.8888888888888892E-2</c:v>
                </c:pt>
                <c:pt idx="4">
                  <c:v>8.0882352941176475E-2</c:v>
                </c:pt>
                <c:pt idx="5">
                  <c:v>8.2334719165240086E-2</c:v>
                </c:pt>
                <c:pt idx="6">
                  <c:v>0.08</c:v>
                </c:pt>
                <c:pt idx="7">
                  <c:v>0</c:v>
                </c:pt>
                <c:pt idx="8">
                  <c:v>3.6052275799909869E-2</c:v>
                </c:pt>
                <c:pt idx="9">
                  <c:v>0</c:v>
                </c:pt>
                <c:pt idx="10">
                  <c:v>7.2566371681415942E-2</c:v>
                </c:pt>
                <c:pt idx="11">
                  <c:v>0</c:v>
                </c:pt>
                <c:pt idx="12">
                  <c:v>2.9647198339756895E-3</c:v>
                </c:pt>
                <c:pt idx="13">
                  <c:v>0</c:v>
                </c:pt>
                <c:pt idx="14">
                  <c:v>1.4E-2</c:v>
                </c:pt>
                <c:pt idx="15">
                  <c:v>1.7574692442882251E-2</c:v>
                </c:pt>
                <c:pt idx="16">
                  <c:v>0</c:v>
                </c:pt>
                <c:pt idx="17">
                  <c:v>0</c:v>
                </c:pt>
                <c:pt idx="18">
                  <c:v>0.1574468085106383</c:v>
                </c:pt>
                <c:pt idx="19">
                  <c:v>4.0680116971903643E-2</c:v>
                </c:pt>
                <c:pt idx="20">
                  <c:v>0</c:v>
                </c:pt>
                <c:pt idx="21">
                  <c:v>0</c:v>
                </c:pt>
                <c:pt idx="22">
                  <c:v>1.195814648729447E-2</c:v>
                </c:pt>
                <c:pt idx="23">
                  <c:v>0</c:v>
                </c:pt>
                <c:pt idx="24">
                  <c:v>0</c:v>
                </c:pt>
                <c:pt idx="25">
                  <c:v>1.895397737368951E-2</c:v>
                </c:pt>
                <c:pt idx="26">
                  <c:v>6.3352826510721244E-3</c:v>
                </c:pt>
                <c:pt idx="27">
                  <c:v>3.534341585589057E-2</c:v>
                </c:pt>
                <c:pt idx="28">
                  <c:v>0.34229828850855742</c:v>
                </c:pt>
                <c:pt idx="29">
                  <c:v>0</c:v>
                </c:pt>
                <c:pt idx="30">
                  <c:v>0</c:v>
                </c:pt>
                <c:pt idx="31">
                  <c:v>0.13500000000000001</c:v>
                </c:pt>
                <c:pt idx="32">
                  <c:v>2.3164120256283886E-2</c:v>
                </c:pt>
                <c:pt idx="33">
                  <c:v>0</c:v>
                </c:pt>
                <c:pt idx="34">
                  <c:v>5.3254437869822487E-2</c:v>
                </c:pt>
                <c:pt idx="35">
                  <c:v>9.8039215686274508E-3</c:v>
                </c:pt>
                <c:pt idx="36">
                  <c:v>0</c:v>
                </c:pt>
                <c:pt idx="37">
                  <c:v>3.6101083032490974E-2</c:v>
                </c:pt>
                <c:pt idx="38">
                  <c:v>6.9800000000000001E-2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8F-4911-BCF6-4C971E5AFEA4}"/>
            </c:ext>
          </c:extLst>
        </c:ser>
        <c:ser>
          <c:idx val="1"/>
          <c:order val="2"/>
          <c:tx>
            <c:strRef>
              <c:f>'Sorted diagram'!$F$2</c:f>
              <c:strCache>
                <c:ptCount val="1"/>
                <c:pt idx="0">
                  <c:v>Payroll tax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'Sorted diagram'!$C$3:$C$44</c:f>
              <c:strCache>
                <c:ptCount val="4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Japan</c:v>
                </c:pt>
                <c:pt idx="13">
                  <c:v>14. Netherlands</c:v>
                </c:pt>
                <c:pt idx="14">
                  <c:v>15. Luxembourg</c:v>
                </c:pt>
                <c:pt idx="15">
                  <c:v>16. United Kingdom</c:v>
                </c:pt>
                <c:pt idx="16">
                  <c:v>17. Iceland</c:v>
                </c:pt>
                <c:pt idx="17">
                  <c:v>18. Israel</c:v>
                </c:pt>
                <c:pt idx="18">
                  <c:v>19. Hungary</c:v>
                </c:pt>
                <c:pt idx="19">
                  <c:v>Average</c:v>
                </c:pt>
                <c:pt idx="20">
                  <c:v>20. Canada</c:v>
                </c:pt>
                <c:pt idx="21">
                  <c:v>21. Germany</c:v>
                </c:pt>
                <c:pt idx="22">
                  <c:v>22. Estonia</c:v>
                </c:pt>
                <c:pt idx="23">
                  <c:v>23. Spain</c:v>
                </c:pt>
                <c:pt idx="24">
                  <c:v>24. Italy</c:v>
                </c:pt>
                <c:pt idx="25">
                  <c:v>25. Australia</c:v>
                </c:pt>
                <c:pt idx="26">
                  <c:v>26. South Korea</c:v>
                </c:pt>
                <c:pt idx="27">
                  <c:v>27. Poland</c:v>
                </c:pt>
                <c:pt idx="28">
                  <c:v>28. Romania</c:v>
                </c:pt>
                <c:pt idx="29">
                  <c:v>29. Latvia</c:v>
                </c:pt>
                <c:pt idx="30">
                  <c:v>30. Malta</c:v>
                </c:pt>
                <c:pt idx="31">
                  <c:v>31. Czech Republic</c:v>
                </c:pt>
                <c:pt idx="32">
                  <c:v>32. United States</c:v>
                </c:pt>
                <c:pt idx="33">
                  <c:v>33. Cyprus</c:v>
                </c:pt>
                <c:pt idx="34">
                  <c:v>34. Switzerland</c:v>
                </c:pt>
                <c:pt idx="35">
                  <c:v>35. Turkey</c:v>
                </c:pt>
                <c:pt idx="36">
                  <c:v>36. Chile</c:v>
                </c:pt>
                <c:pt idx="37">
                  <c:v>37. Slovakia</c:v>
                </c:pt>
                <c:pt idx="38">
                  <c:v>38. Lithuania</c:v>
                </c:pt>
                <c:pt idx="39">
                  <c:v>39. New Zealand</c:v>
                </c:pt>
                <c:pt idx="40">
                  <c:v>40. Mexico</c:v>
                </c:pt>
                <c:pt idx="41">
                  <c:v>41. Bulgaria</c:v>
                </c:pt>
              </c:strCache>
            </c:strRef>
          </c:cat>
          <c:val>
            <c:numRef>
              <c:f>'Sorted diagram'!$F$3:$F$44</c:f>
              <c:numCache>
                <c:formatCode>0.00%</c:formatCode>
                <c:ptCount val="42"/>
                <c:pt idx="0">
                  <c:v>0.23908080961801853</c:v>
                </c:pt>
                <c:pt idx="1">
                  <c:v>0.13867355727820843</c:v>
                </c:pt>
                <c:pt idx="2">
                  <c:v>0.21340360261150002</c:v>
                </c:pt>
                <c:pt idx="3">
                  <c:v>0.19191919191919191</c:v>
                </c:pt>
                <c:pt idx="4">
                  <c:v>0.17382683410442831</c:v>
                </c:pt>
                <c:pt idx="5">
                  <c:v>0.18480476074019728</c:v>
                </c:pt>
                <c:pt idx="6">
                  <c:v>0</c:v>
                </c:pt>
                <c:pt idx="7">
                  <c:v>6.4546304957904588E-2</c:v>
                </c:pt>
                <c:pt idx="8">
                  <c:v>9.869310500225327E-2</c:v>
                </c:pt>
                <c:pt idx="9">
                  <c:v>0.14163090128755365</c:v>
                </c:pt>
                <c:pt idx="10">
                  <c:v>0.11504424778761063</c:v>
                </c:pt>
                <c:pt idx="11">
                  <c:v>0</c:v>
                </c:pt>
                <c:pt idx="12">
                  <c:v>1.1760055341436901E-2</c:v>
                </c:pt>
                <c:pt idx="13">
                  <c:v>0</c:v>
                </c:pt>
                <c:pt idx="14">
                  <c:v>0</c:v>
                </c:pt>
                <c:pt idx="15">
                  <c:v>0.12126537785588755</c:v>
                </c:pt>
                <c:pt idx="16">
                  <c:v>6.4108563406644836E-2</c:v>
                </c:pt>
                <c:pt idx="17">
                  <c:v>0</c:v>
                </c:pt>
                <c:pt idx="18">
                  <c:v>0.14893617021276595</c:v>
                </c:pt>
                <c:pt idx="19">
                  <c:v>6.4205333489873187E-2</c:v>
                </c:pt>
                <c:pt idx="20">
                  <c:v>0</c:v>
                </c:pt>
                <c:pt idx="21">
                  <c:v>0</c:v>
                </c:pt>
                <c:pt idx="22">
                  <c:v>0.25261584454409569</c:v>
                </c:pt>
                <c:pt idx="23">
                  <c:v>0</c:v>
                </c:pt>
                <c:pt idx="24">
                  <c:v>0</c:v>
                </c:pt>
                <c:pt idx="25">
                  <c:v>5.2301131315524496E-2</c:v>
                </c:pt>
                <c:pt idx="26">
                  <c:v>2.5341130604288501E-2</c:v>
                </c:pt>
                <c:pt idx="27">
                  <c:v>3.6701666506116948E-2</c:v>
                </c:pt>
                <c:pt idx="28">
                  <c:v>2.2004889975550123E-2</c:v>
                </c:pt>
                <c:pt idx="29">
                  <c:v>0.12663755458515283</c:v>
                </c:pt>
                <c:pt idx="30">
                  <c:v>0</c:v>
                </c:pt>
                <c:pt idx="31">
                  <c:v>0</c:v>
                </c:pt>
                <c:pt idx="32">
                  <c:v>1.4292755051749631E-2</c:v>
                </c:pt>
                <c:pt idx="33">
                  <c:v>0</c:v>
                </c:pt>
                <c:pt idx="34">
                  <c:v>5.3254437869822487E-2</c:v>
                </c:pt>
                <c:pt idx="35">
                  <c:v>1.9607843137254902E-2</c:v>
                </c:pt>
                <c:pt idx="36">
                  <c:v>1.9996000799840034E-4</c:v>
                </c:pt>
                <c:pt idx="37">
                  <c:v>9.7472924187725629E-2</c:v>
                </c:pt>
                <c:pt idx="38">
                  <c:v>0</c:v>
                </c:pt>
                <c:pt idx="39">
                  <c:v>0</c:v>
                </c:pt>
                <c:pt idx="40">
                  <c:v>2.4295053175919602E-2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F-4911-BCF6-4C971E5AFEA4}"/>
            </c:ext>
          </c:extLst>
        </c:ser>
        <c:ser>
          <c:idx val="2"/>
          <c:order val="3"/>
          <c:tx>
            <c:strRef>
              <c:f>'Sorted diagram'!$G$2</c:f>
              <c:strCache>
                <c:ptCount val="1"/>
                <c:pt idx="0">
                  <c:v>Consumption tax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'Sorted diagram'!$C$3:$C$44</c:f>
              <c:strCache>
                <c:ptCount val="4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Japan</c:v>
                </c:pt>
                <c:pt idx="13">
                  <c:v>14. Netherlands</c:v>
                </c:pt>
                <c:pt idx="14">
                  <c:v>15. Luxembourg</c:v>
                </c:pt>
                <c:pt idx="15">
                  <c:v>16. United Kingdom</c:v>
                </c:pt>
                <c:pt idx="16">
                  <c:v>17. Iceland</c:v>
                </c:pt>
                <c:pt idx="17">
                  <c:v>18. Israel</c:v>
                </c:pt>
                <c:pt idx="18">
                  <c:v>19. Hungary</c:v>
                </c:pt>
                <c:pt idx="19">
                  <c:v>Average</c:v>
                </c:pt>
                <c:pt idx="20">
                  <c:v>20. Canada</c:v>
                </c:pt>
                <c:pt idx="21">
                  <c:v>21. Germany</c:v>
                </c:pt>
                <c:pt idx="22">
                  <c:v>22. Estonia</c:v>
                </c:pt>
                <c:pt idx="23">
                  <c:v>23. Spain</c:v>
                </c:pt>
                <c:pt idx="24">
                  <c:v>24. Italy</c:v>
                </c:pt>
                <c:pt idx="25">
                  <c:v>25. Australia</c:v>
                </c:pt>
                <c:pt idx="26">
                  <c:v>26. South Korea</c:v>
                </c:pt>
                <c:pt idx="27">
                  <c:v>27. Poland</c:v>
                </c:pt>
                <c:pt idx="28">
                  <c:v>28. Romania</c:v>
                </c:pt>
                <c:pt idx="29">
                  <c:v>29. Latvia</c:v>
                </c:pt>
                <c:pt idx="30">
                  <c:v>30. Malta</c:v>
                </c:pt>
                <c:pt idx="31">
                  <c:v>31. Czech Republic</c:v>
                </c:pt>
                <c:pt idx="32">
                  <c:v>32. United States</c:v>
                </c:pt>
                <c:pt idx="33">
                  <c:v>33. Cyprus</c:v>
                </c:pt>
                <c:pt idx="34">
                  <c:v>34. Switzerland</c:v>
                </c:pt>
                <c:pt idx="35">
                  <c:v>35. Turkey</c:v>
                </c:pt>
                <c:pt idx="36">
                  <c:v>36. Chile</c:v>
                </c:pt>
                <c:pt idx="37">
                  <c:v>37. Slovakia</c:v>
                </c:pt>
                <c:pt idx="38">
                  <c:v>38. Lithuania</c:v>
                </c:pt>
                <c:pt idx="39">
                  <c:v>39. New Zealand</c:v>
                </c:pt>
                <c:pt idx="40">
                  <c:v>40. Mexico</c:v>
                </c:pt>
                <c:pt idx="41">
                  <c:v>41. Bulgaria</c:v>
                </c:pt>
              </c:strCache>
            </c:strRef>
          </c:cat>
          <c:val>
            <c:numRef>
              <c:f>'Sorted diagram'!$G$3:$G$44</c:f>
              <c:numCache>
                <c:formatCode>0.00%</c:formatCode>
                <c:ptCount val="42"/>
                <c:pt idx="0">
                  <c:v>5.9957151259270751E-2</c:v>
                </c:pt>
                <c:pt idx="1">
                  <c:v>6.8749197412530036E-2</c:v>
                </c:pt>
                <c:pt idx="2">
                  <c:v>4.6463003023215738E-2</c:v>
                </c:pt>
                <c:pt idx="3">
                  <c:v>5.5728840137539162E-2</c:v>
                </c:pt>
                <c:pt idx="4">
                  <c:v>7.1576772501354829E-2</c:v>
                </c:pt>
                <c:pt idx="5">
                  <c:v>5.503409970439288E-2</c:v>
                </c:pt>
                <c:pt idx="6">
                  <c:v>0.10304212178201526</c:v>
                </c:pt>
                <c:pt idx="7">
                  <c:v>6.8274056410903464E-2</c:v>
                </c:pt>
                <c:pt idx="8">
                  <c:v>7.6110782852848294E-2</c:v>
                </c:pt>
                <c:pt idx="9">
                  <c:v>0.13346513472632168</c:v>
                </c:pt>
                <c:pt idx="10">
                  <c:v>9.7492254263905703E-2</c:v>
                </c:pt>
                <c:pt idx="11">
                  <c:v>7.1842603085850845E-2</c:v>
                </c:pt>
                <c:pt idx="12">
                  <c:v>3.4240504666483297E-2</c:v>
                </c:pt>
                <c:pt idx="13">
                  <c:v>7.5416656376914734E-2</c:v>
                </c:pt>
                <c:pt idx="14">
                  <c:v>0.12003342537326885</c:v>
                </c:pt>
                <c:pt idx="15">
                  <c:v>5.6758504642851683E-2</c:v>
                </c:pt>
                <c:pt idx="16">
                  <c:v>9.357759471888992E-2</c:v>
                </c:pt>
                <c:pt idx="17">
                  <c:v>7.6327056465402693E-2</c:v>
                </c:pt>
                <c:pt idx="18">
                  <c:v>0.13779995888035573</c:v>
                </c:pt>
                <c:pt idx="19">
                  <c:v>8.4014044396636969E-2</c:v>
                </c:pt>
                <c:pt idx="20">
                  <c:v>4.4197213658312876E-2</c:v>
                </c:pt>
                <c:pt idx="21">
                  <c:v>7.2547570718223459E-2</c:v>
                </c:pt>
                <c:pt idx="22">
                  <c:v>0.13315265562946091</c:v>
                </c:pt>
                <c:pt idx="23">
                  <c:v>6.9942402822264063E-2</c:v>
                </c:pt>
                <c:pt idx="24">
                  <c:v>6.7888428776942636E-2</c:v>
                </c:pt>
                <c:pt idx="25">
                  <c:v>3.8139443118272484E-2</c:v>
                </c:pt>
                <c:pt idx="26">
                  <c:v>5.9385487676426936E-2</c:v>
                </c:pt>
                <c:pt idx="27">
                  <c:v>0.10340423891110588</c:v>
                </c:pt>
                <c:pt idx="28">
                  <c:v>7.5061793625155623E-2</c:v>
                </c:pt>
                <c:pt idx="29">
                  <c:v>0.10204501926828112</c:v>
                </c:pt>
                <c:pt idx="30">
                  <c:v>0.1308372224435444</c:v>
                </c:pt>
                <c:pt idx="31">
                  <c:v>0.12269956531409672</c:v>
                </c:pt>
                <c:pt idx="32">
                  <c:v>2.1044182742340795E-2</c:v>
                </c:pt>
                <c:pt idx="33">
                  <c:v>0.11604662502778715</c:v>
                </c:pt>
                <c:pt idx="34">
                  <c:v>5.0850092158950033E-2</c:v>
                </c:pt>
                <c:pt idx="35">
                  <c:v>9.035640644048154E-2</c:v>
                </c:pt>
                <c:pt idx="36">
                  <c:v>9.3717252177595495E-2</c:v>
                </c:pt>
                <c:pt idx="37">
                  <c:v>9.648781501987988E-2</c:v>
                </c:pt>
                <c:pt idx="38">
                  <c:v>0.10471624326945372</c:v>
                </c:pt>
                <c:pt idx="39">
                  <c:v>0.1063620386429181</c:v>
                </c:pt>
                <c:pt idx="40">
                  <c:v>5.5465242411211452E-2</c:v>
                </c:pt>
                <c:pt idx="41">
                  <c:v>0.18833916212509505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F-4911-BCF6-4C971E5AFEA4}"/>
            </c:ext>
          </c:extLst>
        </c:ser>
        <c:ser>
          <c:idx val="3"/>
          <c:order val="4"/>
          <c:tx>
            <c:strRef>
              <c:f>'Sorted diagram'!$H$2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'Sorted diagram'!$C$3:$C$44</c:f>
              <c:strCache>
                <c:ptCount val="4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Japan</c:v>
                </c:pt>
                <c:pt idx="13">
                  <c:v>14. Netherlands</c:v>
                </c:pt>
                <c:pt idx="14">
                  <c:v>15. Luxembourg</c:v>
                </c:pt>
                <c:pt idx="15">
                  <c:v>16. United Kingdom</c:v>
                </c:pt>
                <c:pt idx="16">
                  <c:v>17. Iceland</c:v>
                </c:pt>
                <c:pt idx="17">
                  <c:v>18. Israel</c:v>
                </c:pt>
                <c:pt idx="18">
                  <c:v>19. Hungary</c:v>
                </c:pt>
                <c:pt idx="19">
                  <c:v>Average</c:v>
                </c:pt>
                <c:pt idx="20">
                  <c:v>20. Canada</c:v>
                </c:pt>
                <c:pt idx="21">
                  <c:v>21. Germany</c:v>
                </c:pt>
                <c:pt idx="22">
                  <c:v>22. Estonia</c:v>
                </c:pt>
                <c:pt idx="23">
                  <c:v>23. Spain</c:v>
                </c:pt>
                <c:pt idx="24">
                  <c:v>24. Italy</c:v>
                </c:pt>
                <c:pt idx="25">
                  <c:v>25. Australia</c:v>
                </c:pt>
                <c:pt idx="26">
                  <c:v>26. South Korea</c:v>
                </c:pt>
                <c:pt idx="27">
                  <c:v>27. Poland</c:v>
                </c:pt>
                <c:pt idx="28">
                  <c:v>28. Romania</c:v>
                </c:pt>
                <c:pt idx="29">
                  <c:v>29. Latvia</c:v>
                </c:pt>
                <c:pt idx="30">
                  <c:v>30. Malta</c:v>
                </c:pt>
                <c:pt idx="31">
                  <c:v>31. Czech Republic</c:v>
                </c:pt>
                <c:pt idx="32">
                  <c:v>32. United States</c:v>
                </c:pt>
                <c:pt idx="33">
                  <c:v>33. Cyprus</c:v>
                </c:pt>
                <c:pt idx="34">
                  <c:v>34. Switzerland</c:v>
                </c:pt>
                <c:pt idx="35">
                  <c:v>35. Turkey</c:v>
                </c:pt>
                <c:pt idx="36">
                  <c:v>36. Chile</c:v>
                </c:pt>
                <c:pt idx="37">
                  <c:v>37. Slovakia</c:v>
                </c:pt>
                <c:pt idx="38">
                  <c:v>38. Lithuania</c:v>
                </c:pt>
                <c:pt idx="39">
                  <c:v>39. New Zealand</c:v>
                </c:pt>
                <c:pt idx="40">
                  <c:v>40. Mexico</c:v>
                </c:pt>
                <c:pt idx="41">
                  <c:v>41. Bulgaria</c:v>
                </c:pt>
              </c:strCache>
            </c:strRef>
          </c:cat>
          <c:val>
            <c:numRef>
              <c:f>'Sorted diagram'!$H$3:$H$44</c:f>
              <c:numCache>
                <c:formatCode>0%</c:formatCode>
                <c:ptCount val="42"/>
                <c:pt idx="0">
                  <c:v>0.75703522156820402</c:v>
                </c:pt>
                <c:pt idx="1">
                  <c:v>0.73326254797239221</c:v>
                </c:pt>
                <c:pt idx="2">
                  <c:v>0.72850146758704792</c:v>
                </c:pt>
                <c:pt idx="3">
                  <c:v>0.71770863811733709</c:v>
                </c:pt>
                <c:pt idx="4">
                  <c:v>0.70735315221054196</c:v>
                </c:pt>
                <c:pt idx="5">
                  <c:v>0.69285915880604776</c:v>
                </c:pt>
                <c:pt idx="6">
                  <c:v>0.66190212178201524</c:v>
                </c:pt>
                <c:pt idx="7">
                  <c:v>0.64731989364196052</c:v>
                </c:pt>
                <c:pt idx="8">
                  <c:v>0.64348347325392996</c:v>
                </c:pt>
                <c:pt idx="9">
                  <c:v>0.63973122914692249</c:v>
                </c:pt>
                <c:pt idx="10">
                  <c:v>0.62315597107806509</c:v>
                </c:pt>
                <c:pt idx="11">
                  <c:v>0.62184260308585093</c:v>
                </c:pt>
                <c:pt idx="12">
                  <c:v>0.60017750437001127</c:v>
                </c:pt>
                <c:pt idx="13">
                  <c:v>0.59291665637691471</c:v>
                </c:pt>
                <c:pt idx="14">
                  <c:v>0.59183342537326888</c:v>
                </c:pt>
                <c:pt idx="15">
                  <c:v>0.59102915490647223</c:v>
                </c:pt>
                <c:pt idx="16">
                  <c:v>0.59044235840630221</c:v>
                </c:pt>
                <c:pt idx="17">
                  <c:v>0.57632705646540272</c:v>
                </c:pt>
                <c:pt idx="18">
                  <c:v>0.57184251207184511</c:v>
                </c:pt>
                <c:pt idx="19">
                  <c:v>0.5586022084503196</c:v>
                </c:pt>
                <c:pt idx="20">
                  <c:v>0.54875875211985137</c:v>
                </c:pt>
                <c:pt idx="21">
                  <c:v>0.54729757071822349</c:v>
                </c:pt>
                <c:pt idx="22">
                  <c:v>0.54481184845457298</c:v>
                </c:pt>
                <c:pt idx="23">
                  <c:v>0.5410012263516758</c:v>
                </c:pt>
                <c:pt idx="24">
                  <c:v>0.54018842877694262</c:v>
                </c:pt>
                <c:pt idx="25">
                  <c:v>0.53585904271550056</c:v>
                </c:pt>
                <c:pt idx="26">
                  <c:v>0.53234845063938985</c:v>
                </c:pt>
                <c:pt idx="27">
                  <c:v>0.51374043002949521</c:v>
                </c:pt>
                <c:pt idx="28">
                  <c:v>0.50293465426085238</c:v>
                </c:pt>
                <c:pt idx="29">
                  <c:v>0.50352973542548629</c:v>
                </c:pt>
                <c:pt idx="30">
                  <c:v>0.48083722244354438</c:v>
                </c:pt>
                <c:pt idx="31">
                  <c:v>0.47769956531409669</c:v>
                </c:pt>
                <c:pt idx="32">
                  <c:v>0.47328666672459813</c:v>
                </c:pt>
                <c:pt idx="33">
                  <c:v>0.46604662502778715</c:v>
                </c:pt>
                <c:pt idx="34">
                  <c:v>0.46016310991042936</c:v>
                </c:pt>
                <c:pt idx="35">
                  <c:v>0.45947405349930504</c:v>
                </c:pt>
                <c:pt idx="36">
                  <c:v>0.44884622638275445</c:v>
                </c:pt>
                <c:pt idx="37">
                  <c:v>0.44666832043504234</c:v>
                </c:pt>
                <c:pt idx="38">
                  <c:v>0.44451624326945371</c:v>
                </c:pt>
                <c:pt idx="39">
                  <c:v>0.43636203864291812</c:v>
                </c:pt>
                <c:pt idx="40">
                  <c:v>0.42125702697555917</c:v>
                </c:pt>
                <c:pt idx="41">
                  <c:v>0.28833916212509503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F-4911-BCF6-4C971E5A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25152"/>
        <c:axId val="177072000"/>
      </c:barChart>
      <c:catAx>
        <c:axId val="176625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7072000"/>
        <c:crosses val="autoZero"/>
        <c:auto val="1"/>
        <c:lblAlgn val="ctr"/>
        <c:lblOffset val="100"/>
        <c:noMultiLvlLbl val="0"/>
      </c:catAx>
      <c:valAx>
        <c:axId val="177072000"/>
        <c:scaling>
          <c:orientation val="minMax"/>
          <c:max val="0.76000000000000012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176625152"/>
        <c:crosses val="max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21579648697761"/>
          <c:y val="0.77288669172035318"/>
          <c:w val="0.29219592263957944"/>
          <c:h val="0.163437127177284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06098154541775"/>
          <c:y val="2.1819795106256878E-2"/>
          <c:w val="0.66760572606067226"/>
          <c:h val="0.935080585894505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'Sorted diagram (Europe)'!$D$2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'Sorted diagram (Europe)'!$C$3:$C$34</c:f>
              <c:strCache>
                <c:ptCount val="3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Netherlands</c:v>
                </c:pt>
                <c:pt idx="13">
                  <c:v>14. Luxembourg</c:v>
                </c:pt>
                <c:pt idx="14">
                  <c:v>15. United Kingdom</c:v>
                </c:pt>
                <c:pt idx="15">
                  <c:v>16. Iceland</c:v>
                </c:pt>
                <c:pt idx="16">
                  <c:v>17. Hungary</c:v>
                </c:pt>
                <c:pt idx="17">
                  <c:v>18. Germany</c:v>
                </c:pt>
                <c:pt idx="18">
                  <c:v>19. Estonia</c:v>
                </c:pt>
                <c:pt idx="19">
                  <c:v>20. Spain</c:v>
                </c:pt>
                <c:pt idx="20">
                  <c:v>21. Italy</c:v>
                </c:pt>
                <c:pt idx="21">
                  <c:v>22. Poland</c:v>
                </c:pt>
                <c:pt idx="22">
                  <c:v>23. Romania</c:v>
                </c:pt>
                <c:pt idx="23">
                  <c:v>24. Latvia</c:v>
                </c:pt>
                <c:pt idx="24">
                  <c:v>25. Malta</c:v>
                </c:pt>
                <c:pt idx="25">
                  <c:v>26. Czech Republic</c:v>
                </c:pt>
                <c:pt idx="26">
                  <c:v>27. Cyprus</c:v>
                </c:pt>
                <c:pt idx="27">
                  <c:v>28. Switzerland</c:v>
                </c:pt>
                <c:pt idx="28">
                  <c:v>29. Turkey</c:v>
                </c:pt>
                <c:pt idx="29">
                  <c:v>30. Slovakia</c:v>
                </c:pt>
                <c:pt idx="30">
                  <c:v>31. Lithuania</c:v>
                </c:pt>
                <c:pt idx="31">
                  <c:v>32. Bulgaria</c:v>
                </c:pt>
              </c:strCache>
            </c:strRef>
          </c:cat>
          <c:val>
            <c:numRef>
              <c:f>'Sorted diagram (Europe)'!$D$3:$D$34</c:f>
              <c:numCache>
                <c:formatCode>0.00%</c:formatCode>
                <c:ptCount val="32"/>
                <c:pt idx="0">
                  <c:v>0.45799726069091468</c:v>
                </c:pt>
                <c:pt idx="1">
                  <c:v>0.33548664944013784</c:v>
                </c:pt>
                <c:pt idx="2">
                  <c:v>0.36582671281365531</c:v>
                </c:pt>
                <c:pt idx="3">
                  <c:v>0.38117171717171716</c:v>
                </c:pt>
                <c:pt idx="4">
                  <c:v>0.3810671926635823</c:v>
                </c:pt>
                <c:pt idx="5">
                  <c:v>0.37068557919621747</c:v>
                </c:pt>
                <c:pt idx="6">
                  <c:v>0.47886000000000001</c:v>
                </c:pt>
                <c:pt idx="7">
                  <c:v>0.51449953227315259</c:v>
                </c:pt>
                <c:pt idx="8">
                  <c:v>0.43262730959891849</c:v>
                </c:pt>
                <c:pt idx="9">
                  <c:v>0.36463519313304715</c:v>
                </c:pt>
                <c:pt idx="10">
                  <c:v>0.33805309734513278</c:v>
                </c:pt>
                <c:pt idx="11">
                  <c:v>0.55000000000000004</c:v>
                </c:pt>
                <c:pt idx="12">
                  <c:v>0.51749999999999996</c:v>
                </c:pt>
                <c:pt idx="13">
                  <c:v>0.45779999999999998</c:v>
                </c:pt>
                <c:pt idx="14">
                  <c:v>0.39543057996485065</c:v>
                </c:pt>
                <c:pt idx="15">
                  <c:v>0.43275620028076744</c:v>
                </c:pt>
                <c:pt idx="16">
                  <c:v>0.1276595744680851</c:v>
                </c:pt>
                <c:pt idx="17">
                  <c:v>0.47475000000000001</c:v>
                </c:pt>
                <c:pt idx="18">
                  <c:v>0.14708520179372198</c:v>
                </c:pt>
                <c:pt idx="19">
                  <c:v>0.4710588235294117</c:v>
                </c:pt>
                <c:pt idx="20">
                  <c:v>0.4723</c:v>
                </c:pt>
                <c:pt idx="21">
                  <c:v>0.33829110875638185</c:v>
                </c:pt>
                <c:pt idx="22">
                  <c:v>6.3569682151589244E-2</c:v>
                </c:pt>
                <c:pt idx="23">
                  <c:v>0.27484716157205236</c:v>
                </c:pt>
                <c:pt idx="24">
                  <c:v>0.35</c:v>
                </c:pt>
                <c:pt idx="25">
                  <c:v>0.22</c:v>
                </c:pt>
                <c:pt idx="26">
                  <c:v>0.35</c:v>
                </c:pt>
                <c:pt idx="27">
                  <c:v>0.30280414201183431</c:v>
                </c:pt>
                <c:pt idx="28">
                  <c:v>0.33970588235294114</c:v>
                </c:pt>
                <c:pt idx="29">
                  <c:v>0.21660649819494582</c:v>
                </c:pt>
                <c:pt idx="30">
                  <c:v>0.27</c:v>
                </c:pt>
                <c:pt idx="3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A-431D-9D53-1703D1333038}"/>
            </c:ext>
          </c:extLst>
        </c:ser>
        <c:ser>
          <c:idx val="4"/>
          <c:order val="1"/>
          <c:tx>
            <c:strRef>
              <c:f>'Sorted diagram (Europe)'!$E$2</c:f>
              <c:strCache>
                <c:ptCount val="1"/>
                <c:pt idx="0">
                  <c:v>Employees' social contributions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'Sorted diagram (Europe)'!$E$3:$E$34</c:f>
              <c:numCache>
                <c:formatCode>0.00%</c:formatCode>
                <c:ptCount val="32"/>
                <c:pt idx="0">
                  <c:v>0</c:v>
                </c:pt>
                <c:pt idx="1">
                  <c:v>0.19035314384151594</c:v>
                </c:pt>
                <c:pt idx="2">
                  <c:v>0.10280814913867695</c:v>
                </c:pt>
                <c:pt idx="3">
                  <c:v>8.8888888888888892E-2</c:v>
                </c:pt>
                <c:pt idx="4">
                  <c:v>8.0882352941176475E-2</c:v>
                </c:pt>
                <c:pt idx="5">
                  <c:v>8.2334719165240086E-2</c:v>
                </c:pt>
                <c:pt idx="6">
                  <c:v>0.08</c:v>
                </c:pt>
                <c:pt idx="7">
                  <c:v>0</c:v>
                </c:pt>
                <c:pt idx="8">
                  <c:v>3.6052275799909869E-2</c:v>
                </c:pt>
                <c:pt idx="9">
                  <c:v>0</c:v>
                </c:pt>
                <c:pt idx="10">
                  <c:v>7.2566371681415942E-2</c:v>
                </c:pt>
                <c:pt idx="11">
                  <c:v>0</c:v>
                </c:pt>
                <c:pt idx="12">
                  <c:v>0</c:v>
                </c:pt>
                <c:pt idx="13">
                  <c:v>1.4E-2</c:v>
                </c:pt>
                <c:pt idx="14">
                  <c:v>1.7574692442882251E-2</c:v>
                </c:pt>
                <c:pt idx="15">
                  <c:v>0</c:v>
                </c:pt>
                <c:pt idx="16">
                  <c:v>0.1574468085106383</c:v>
                </c:pt>
                <c:pt idx="17">
                  <c:v>0</c:v>
                </c:pt>
                <c:pt idx="18">
                  <c:v>1.195814648729447E-2</c:v>
                </c:pt>
                <c:pt idx="19">
                  <c:v>0</c:v>
                </c:pt>
                <c:pt idx="20">
                  <c:v>0</c:v>
                </c:pt>
                <c:pt idx="21">
                  <c:v>3.534341585589057E-2</c:v>
                </c:pt>
                <c:pt idx="22">
                  <c:v>0.34229828850855742</c:v>
                </c:pt>
                <c:pt idx="23">
                  <c:v>0</c:v>
                </c:pt>
                <c:pt idx="24">
                  <c:v>0</c:v>
                </c:pt>
                <c:pt idx="25">
                  <c:v>0.13500000000000001</c:v>
                </c:pt>
                <c:pt idx="26">
                  <c:v>0</c:v>
                </c:pt>
                <c:pt idx="27">
                  <c:v>5.3254437869822487E-2</c:v>
                </c:pt>
                <c:pt idx="28">
                  <c:v>9.8039215686274508E-3</c:v>
                </c:pt>
                <c:pt idx="29">
                  <c:v>3.6101083032490974E-2</c:v>
                </c:pt>
                <c:pt idx="30">
                  <c:v>6.9800000000000001E-2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A-431D-9D53-1703D1333038}"/>
            </c:ext>
          </c:extLst>
        </c:ser>
        <c:ser>
          <c:idx val="1"/>
          <c:order val="2"/>
          <c:tx>
            <c:strRef>
              <c:f>'Sorted diagram (Europe)'!$F$2</c:f>
              <c:strCache>
                <c:ptCount val="1"/>
                <c:pt idx="0">
                  <c:v>Payroll tax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'Sorted diagram (Europe)'!$C$3:$C$34</c:f>
              <c:strCache>
                <c:ptCount val="3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Netherlands</c:v>
                </c:pt>
                <c:pt idx="13">
                  <c:v>14. Luxembourg</c:v>
                </c:pt>
                <c:pt idx="14">
                  <c:v>15. United Kingdom</c:v>
                </c:pt>
                <c:pt idx="15">
                  <c:v>16. Iceland</c:v>
                </c:pt>
                <c:pt idx="16">
                  <c:v>17. Hungary</c:v>
                </c:pt>
                <c:pt idx="17">
                  <c:v>18. Germany</c:v>
                </c:pt>
                <c:pt idx="18">
                  <c:v>19. Estonia</c:v>
                </c:pt>
                <c:pt idx="19">
                  <c:v>20. Spain</c:v>
                </c:pt>
                <c:pt idx="20">
                  <c:v>21. Italy</c:v>
                </c:pt>
                <c:pt idx="21">
                  <c:v>22. Poland</c:v>
                </c:pt>
                <c:pt idx="22">
                  <c:v>23. Romania</c:v>
                </c:pt>
                <c:pt idx="23">
                  <c:v>24. Latvia</c:v>
                </c:pt>
                <c:pt idx="24">
                  <c:v>25. Malta</c:v>
                </c:pt>
                <c:pt idx="25">
                  <c:v>26. Czech Republic</c:v>
                </c:pt>
                <c:pt idx="26">
                  <c:v>27. Cyprus</c:v>
                </c:pt>
                <c:pt idx="27">
                  <c:v>28. Switzerland</c:v>
                </c:pt>
                <c:pt idx="28">
                  <c:v>29. Turkey</c:v>
                </c:pt>
                <c:pt idx="29">
                  <c:v>30. Slovakia</c:v>
                </c:pt>
                <c:pt idx="30">
                  <c:v>31. Lithuania</c:v>
                </c:pt>
                <c:pt idx="31">
                  <c:v>32. Bulgaria</c:v>
                </c:pt>
              </c:strCache>
            </c:strRef>
          </c:cat>
          <c:val>
            <c:numRef>
              <c:f>'Sorted diagram (Europe)'!$F$3:$F$34</c:f>
              <c:numCache>
                <c:formatCode>0.00%</c:formatCode>
                <c:ptCount val="32"/>
                <c:pt idx="0">
                  <c:v>0.23908080961801853</c:v>
                </c:pt>
                <c:pt idx="1">
                  <c:v>0.13867355727820843</c:v>
                </c:pt>
                <c:pt idx="2">
                  <c:v>0.21340360261150002</c:v>
                </c:pt>
                <c:pt idx="3">
                  <c:v>0.19191919191919191</c:v>
                </c:pt>
                <c:pt idx="4">
                  <c:v>0.17382683410442831</c:v>
                </c:pt>
                <c:pt idx="5">
                  <c:v>0.18480476074019728</c:v>
                </c:pt>
                <c:pt idx="6">
                  <c:v>0</c:v>
                </c:pt>
                <c:pt idx="7">
                  <c:v>6.4546304957904588E-2</c:v>
                </c:pt>
                <c:pt idx="8">
                  <c:v>9.869310500225327E-2</c:v>
                </c:pt>
                <c:pt idx="9">
                  <c:v>0.14163090128755365</c:v>
                </c:pt>
                <c:pt idx="10">
                  <c:v>0.11504424778761063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0.12126537785588755</c:v>
                </c:pt>
                <c:pt idx="15">
                  <c:v>6.4108563406644836E-2</c:v>
                </c:pt>
                <c:pt idx="16">
                  <c:v>0.14893617021276595</c:v>
                </c:pt>
                <c:pt idx="17">
                  <c:v>0</c:v>
                </c:pt>
                <c:pt idx="18">
                  <c:v>0.25261584454409569</c:v>
                </c:pt>
                <c:pt idx="19">
                  <c:v>0</c:v>
                </c:pt>
                <c:pt idx="20">
                  <c:v>0</c:v>
                </c:pt>
                <c:pt idx="21">
                  <c:v>3.6701666506116948E-2</c:v>
                </c:pt>
                <c:pt idx="22">
                  <c:v>2.2004889975550123E-2</c:v>
                </c:pt>
                <c:pt idx="23">
                  <c:v>0.12663755458515283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5.3254437869822487E-2</c:v>
                </c:pt>
                <c:pt idx="28">
                  <c:v>1.9607843137254902E-2</c:v>
                </c:pt>
                <c:pt idx="29">
                  <c:v>9.7472924187725629E-2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A-431D-9D53-1703D1333038}"/>
            </c:ext>
          </c:extLst>
        </c:ser>
        <c:ser>
          <c:idx val="2"/>
          <c:order val="3"/>
          <c:tx>
            <c:strRef>
              <c:f>'Sorted diagram (Europe)'!$G$2</c:f>
              <c:strCache>
                <c:ptCount val="1"/>
                <c:pt idx="0">
                  <c:v>Consumption tax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'Sorted diagram (Europe)'!$C$3:$C$34</c:f>
              <c:strCache>
                <c:ptCount val="3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Netherlands</c:v>
                </c:pt>
                <c:pt idx="13">
                  <c:v>14. Luxembourg</c:v>
                </c:pt>
                <c:pt idx="14">
                  <c:v>15. United Kingdom</c:v>
                </c:pt>
                <c:pt idx="15">
                  <c:v>16. Iceland</c:v>
                </c:pt>
                <c:pt idx="16">
                  <c:v>17. Hungary</c:v>
                </c:pt>
                <c:pt idx="17">
                  <c:v>18. Germany</c:v>
                </c:pt>
                <c:pt idx="18">
                  <c:v>19. Estonia</c:v>
                </c:pt>
                <c:pt idx="19">
                  <c:v>20. Spain</c:v>
                </c:pt>
                <c:pt idx="20">
                  <c:v>21. Italy</c:v>
                </c:pt>
                <c:pt idx="21">
                  <c:v>22. Poland</c:v>
                </c:pt>
                <c:pt idx="22">
                  <c:v>23. Romania</c:v>
                </c:pt>
                <c:pt idx="23">
                  <c:v>24. Latvia</c:v>
                </c:pt>
                <c:pt idx="24">
                  <c:v>25. Malta</c:v>
                </c:pt>
                <c:pt idx="25">
                  <c:v>26. Czech Republic</c:v>
                </c:pt>
                <c:pt idx="26">
                  <c:v>27. Cyprus</c:v>
                </c:pt>
                <c:pt idx="27">
                  <c:v>28. Switzerland</c:v>
                </c:pt>
                <c:pt idx="28">
                  <c:v>29. Turkey</c:v>
                </c:pt>
                <c:pt idx="29">
                  <c:v>30. Slovakia</c:v>
                </c:pt>
                <c:pt idx="30">
                  <c:v>31. Lithuania</c:v>
                </c:pt>
                <c:pt idx="31">
                  <c:v>32. Bulgaria</c:v>
                </c:pt>
              </c:strCache>
            </c:strRef>
          </c:cat>
          <c:val>
            <c:numRef>
              <c:f>'Sorted diagram (Europe)'!$G$3:$G$34</c:f>
              <c:numCache>
                <c:formatCode>0.00%</c:formatCode>
                <c:ptCount val="32"/>
                <c:pt idx="0">
                  <c:v>5.9957151259270751E-2</c:v>
                </c:pt>
                <c:pt idx="1">
                  <c:v>6.8749197412530036E-2</c:v>
                </c:pt>
                <c:pt idx="2">
                  <c:v>4.6463003023215738E-2</c:v>
                </c:pt>
                <c:pt idx="3">
                  <c:v>5.5728840137539162E-2</c:v>
                </c:pt>
                <c:pt idx="4">
                  <c:v>7.1576772501354829E-2</c:v>
                </c:pt>
                <c:pt idx="5">
                  <c:v>5.503409970439288E-2</c:v>
                </c:pt>
                <c:pt idx="6">
                  <c:v>0.10304212178201526</c:v>
                </c:pt>
                <c:pt idx="7">
                  <c:v>6.8274056410903464E-2</c:v>
                </c:pt>
                <c:pt idx="8">
                  <c:v>7.6110782852848294E-2</c:v>
                </c:pt>
                <c:pt idx="9">
                  <c:v>0.13346513472632168</c:v>
                </c:pt>
                <c:pt idx="10">
                  <c:v>9.7492254263905703E-2</c:v>
                </c:pt>
                <c:pt idx="11">
                  <c:v>7.1842603085850845E-2</c:v>
                </c:pt>
                <c:pt idx="12">
                  <c:v>7.5416656376914734E-2</c:v>
                </c:pt>
                <c:pt idx="13">
                  <c:v>0.12003342537326885</c:v>
                </c:pt>
                <c:pt idx="14">
                  <c:v>5.6758504642851683E-2</c:v>
                </c:pt>
                <c:pt idx="15">
                  <c:v>9.357759471888992E-2</c:v>
                </c:pt>
                <c:pt idx="16">
                  <c:v>0.13779995888035573</c:v>
                </c:pt>
                <c:pt idx="17">
                  <c:v>7.2547570718223459E-2</c:v>
                </c:pt>
                <c:pt idx="18">
                  <c:v>0.13315265562946091</c:v>
                </c:pt>
                <c:pt idx="19">
                  <c:v>6.9942402822264063E-2</c:v>
                </c:pt>
                <c:pt idx="20">
                  <c:v>6.7888428776942636E-2</c:v>
                </c:pt>
                <c:pt idx="21">
                  <c:v>0.10340423891110588</c:v>
                </c:pt>
                <c:pt idx="22">
                  <c:v>7.5061793625155623E-2</c:v>
                </c:pt>
                <c:pt idx="23">
                  <c:v>0.10204501926828112</c:v>
                </c:pt>
                <c:pt idx="24">
                  <c:v>0.1308372224435444</c:v>
                </c:pt>
                <c:pt idx="25">
                  <c:v>0.12269956531409672</c:v>
                </c:pt>
                <c:pt idx="26">
                  <c:v>0.11604662502778715</c:v>
                </c:pt>
                <c:pt idx="27">
                  <c:v>5.0850092158950033E-2</c:v>
                </c:pt>
                <c:pt idx="28">
                  <c:v>9.035640644048154E-2</c:v>
                </c:pt>
                <c:pt idx="29">
                  <c:v>9.648781501987988E-2</c:v>
                </c:pt>
                <c:pt idx="30">
                  <c:v>0.10471624326945372</c:v>
                </c:pt>
                <c:pt idx="31">
                  <c:v>0.18833916212509505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A-431D-9D53-1703D1333038}"/>
            </c:ext>
          </c:extLst>
        </c:ser>
        <c:ser>
          <c:idx val="3"/>
          <c:order val="4"/>
          <c:tx>
            <c:strRef>
              <c:f>'Sorted diagram (Europe)'!$H$2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'Sorted diagram (Europe)'!$C$3:$C$34</c:f>
              <c:strCache>
                <c:ptCount val="32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Norway</c:v>
                </c:pt>
                <c:pt idx="11">
                  <c:v>12. Greece</c:v>
                </c:pt>
                <c:pt idx="12">
                  <c:v>13. Netherlands</c:v>
                </c:pt>
                <c:pt idx="13">
                  <c:v>14. Luxembourg</c:v>
                </c:pt>
                <c:pt idx="14">
                  <c:v>15. United Kingdom</c:v>
                </c:pt>
                <c:pt idx="15">
                  <c:v>16. Iceland</c:v>
                </c:pt>
                <c:pt idx="16">
                  <c:v>17. Hungary</c:v>
                </c:pt>
                <c:pt idx="17">
                  <c:v>18. Germany</c:v>
                </c:pt>
                <c:pt idx="18">
                  <c:v>19. Estonia</c:v>
                </c:pt>
                <c:pt idx="19">
                  <c:v>20. Spain</c:v>
                </c:pt>
                <c:pt idx="20">
                  <c:v>21. Italy</c:v>
                </c:pt>
                <c:pt idx="21">
                  <c:v>22. Poland</c:v>
                </c:pt>
                <c:pt idx="22">
                  <c:v>23. Romania</c:v>
                </c:pt>
                <c:pt idx="23">
                  <c:v>24. Latvia</c:v>
                </c:pt>
                <c:pt idx="24">
                  <c:v>25. Malta</c:v>
                </c:pt>
                <c:pt idx="25">
                  <c:v>26. Czech Republic</c:v>
                </c:pt>
                <c:pt idx="26">
                  <c:v>27. Cyprus</c:v>
                </c:pt>
                <c:pt idx="27">
                  <c:v>28. Switzerland</c:v>
                </c:pt>
                <c:pt idx="28">
                  <c:v>29. Turkey</c:v>
                </c:pt>
                <c:pt idx="29">
                  <c:v>30. Slovakia</c:v>
                </c:pt>
                <c:pt idx="30">
                  <c:v>31. Lithuania</c:v>
                </c:pt>
                <c:pt idx="31">
                  <c:v>32. Bulgaria</c:v>
                </c:pt>
              </c:strCache>
            </c:strRef>
          </c:cat>
          <c:val>
            <c:numRef>
              <c:f>'Sorted diagram (Europe)'!$H$3:$H$34</c:f>
              <c:numCache>
                <c:formatCode>0%</c:formatCode>
                <c:ptCount val="32"/>
                <c:pt idx="0">
                  <c:v>0.75703522156820402</c:v>
                </c:pt>
                <c:pt idx="1">
                  <c:v>0.73326254797239221</c:v>
                </c:pt>
                <c:pt idx="2">
                  <c:v>0.72850146758704792</c:v>
                </c:pt>
                <c:pt idx="3">
                  <c:v>0.71770863811733709</c:v>
                </c:pt>
                <c:pt idx="4">
                  <c:v>0.70735315221054196</c:v>
                </c:pt>
                <c:pt idx="5">
                  <c:v>0.69285915880604776</c:v>
                </c:pt>
                <c:pt idx="6">
                  <c:v>0.66190212178201524</c:v>
                </c:pt>
                <c:pt idx="7">
                  <c:v>0.64731989364196052</c:v>
                </c:pt>
                <c:pt idx="8">
                  <c:v>0.64348347325392996</c:v>
                </c:pt>
                <c:pt idx="9">
                  <c:v>0.63973122914692249</c:v>
                </c:pt>
                <c:pt idx="10">
                  <c:v>0.62315597107806509</c:v>
                </c:pt>
                <c:pt idx="11">
                  <c:v>0.62184260308585093</c:v>
                </c:pt>
                <c:pt idx="12">
                  <c:v>0.59291665637691471</c:v>
                </c:pt>
                <c:pt idx="13">
                  <c:v>0.59183342537326888</c:v>
                </c:pt>
                <c:pt idx="14">
                  <c:v>0.59102915490647223</c:v>
                </c:pt>
                <c:pt idx="15">
                  <c:v>0.59044235840630221</c:v>
                </c:pt>
                <c:pt idx="16">
                  <c:v>0.57184251207184511</c:v>
                </c:pt>
                <c:pt idx="17">
                  <c:v>0.54729757071822349</c:v>
                </c:pt>
                <c:pt idx="18">
                  <c:v>0.54481184845457298</c:v>
                </c:pt>
                <c:pt idx="19">
                  <c:v>0.5410012263516758</c:v>
                </c:pt>
                <c:pt idx="20">
                  <c:v>0.54018842877694262</c:v>
                </c:pt>
                <c:pt idx="21">
                  <c:v>0.51374043002949521</c:v>
                </c:pt>
                <c:pt idx="22">
                  <c:v>0.50293465426085238</c:v>
                </c:pt>
                <c:pt idx="23">
                  <c:v>0.50352973542548629</c:v>
                </c:pt>
                <c:pt idx="24">
                  <c:v>0.48083722244354438</c:v>
                </c:pt>
                <c:pt idx="25">
                  <c:v>0.47769956531409669</c:v>
                </c:pt>
                <c:pt idx="26">
                  <c:v>0.46604662502778715</c:v>
                </c:pt>
                <c:pt idx="27">
                  <c:v>0.46016310991042936</c:v>
                </c:pt>
                <c:pt idx="28">
                  <c:v>0.45947405349930504</c:v>
                </c:pt>
                <c:pt idx="29">
                  <c:v>0.44666832043504234</c:v>
                </c:pt>
                <c:pt idx="30">
                  <c:v>0.44451624326945371</c:v>
                </c:pt>
                <c:pt idx="31">
                  <c:v>0.28833916212509503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A-431D-9D53-1703D1333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25152"/>
        <c:axId val="177072000"/>
      </c:barChart>
      <c:catAx>
        <c:axId val="176625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7072000"/>
        <c:crosses val="autoZero"/>
        <c:auto val="1"/>
        <c:lblAlgn val="ctr"/>
        <c:lblOffset val="100"/>
        <c:noMultiLvlLbl val="0"/>
      </c:catAx>
      <c:valAx>
        <c:axId val="177072000"/>
        <c:scaling>
          <c:orientation val="minMax"/>
          <c:max val="0.76000000000000012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176625152"/>
        <c:crosses val="max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21579648697761"/>
          <c:y val="0.75559871871769679"/>
          <c:w val="0.29219592263957944"/>
          <c:h val="0.191530094394602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06098154541775"/>
          <c:y val="2.1819795106256878E-2"/>
          <c:w val="0.66760572606067226"/>
          <c:h val="0.935080585894505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'Sorted diagram (EU)'!$D$2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'Sorted diagram (EU)'!$C$3:$C$30</c:f>
              <c:strCache>
                <c:ptCount val="28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Greece</c:v>
                </c:pt>
                <c:pt idx="11">
                  <c:v>12. Netherlands</c:v>
                </c:pt>
                <c:pt idx="12">
                  <c:v>13. Luxembourg</c:v>
                </c:pt>
                <c:pt idx="13">
                  <c:v>14. United Kingdom</c:v>
                </c:pt>
                <c:pt idx="14">
                  <c:v>15. Hungary</c:v>
                </c:pt>
                <c:pt idx="15">
                  <c:v>16. Germany</c:v>
                </c:pt>
                <c:pt idx="16">
                  <c:v>17. Estonia</c:v>
                </c:pt>
                <c:pt idx="17">
                  <c:v>18. Spain</c:v>
                </c:pt>
                <c:pt idx="18">
                  <c:v>19. Italy</c:v>
                </c:pt>
                <c:pt idx="19">
                  <c:v>20. Poland</c:v>
                </c:pt>
                <c:pt idx="20">
                  <c:v>21. Romania</c:v>
                </c:pt>
                <c:pt idx="21">
                  <c:v>22. Latvia</c:v>
                </c:pt>
                <c:pt idx="22">
                  <c:v>23. Malta</c:v>
                </c:pt>
                <c:pt idx="23">
                  <c:v>24. Czech Republic</c:v>
                </c:pt>
                <c:pt idx="24">
                  <c:v>25. Cyprus</c:v>
                </c:pt>
                <c:pt idx="25">
                  <c:v>26. Slovakia</c:v>
                </c:pt>
                <c:pt idx="26">
                  <c:v>27. Lithuania</c:v>
                </c:pt>
                <c:pt idx="27">
                  <c:v>28. Bulgaria</c:v>
                </c:pt>
              </c:strCache>
            </c:strRef>
          </c:cat>
          <c:val>
            <c:numRef>
              <c:f>'Sorted diagram (EU)'!$D$3:$D$30</c:f>
              <c:numCache>
                <c:formatCode>0.00%</c:formatCode>
                <c:ptCount val="28"/>
                <c:pt idx="0">
                  <c:v>0.45799726069091468</c:v>
                </c:pt>
                <c:pt idx="1">
                  <c:v>0.33548664944013784</c:v>
                </c:pt>
                <c:pt idx="2">
                  <c:v>0.36582671281365531</c:v>
                </c:pt>
                <c:pt idx="3">
                  <c:v>0.38117171717171716</c:v>
                </c:pt>
                <c:pt idx="4">
                  <c:v>0.3810671926635823</c:v>
                </c:pt>
                <c:pt idx="5">
                  <c:v>0.37068557919621747</c:v>
                </c:pt>
                <c:pt idx="6">
                  <c:v>0.47886000000000001</c:v>
                </c:pt>
                <c:pt idx="7">
                  <c:v>0.51449953227315259</c:v>
                </c:pt>
                <c:pt idx="8">
                  <c:v>0.43262730959891849</c:v>
                </c:pt>
                <c:pt idx="9">
                  <c:v>0.36463519313304715</c:v>
                </c:pt>
                <c:pt idx="10">
                  <c:v>0.55000000000000004</c:v>
                </c:pt>
                <c:pt idx="11">
                  <c:v>0.51749999999999996</c:v>
                </c:pt>
                <c:pt idx="12">
                  <c:v>0.45779999999999998</c:v>
                </c:pt>
                <c:pt idx="13">
                  <c:v>0.39543057996485065</c:v>
                </c:pt>
                <c:pt idx="14">
                  <c:v>0.1276595744680851</c:v>
                </c:pt>
                <c:pt idx="15">
                  <c:v>0.47475000000000001</c:v>
                </c:pt>
                <c:pt idx="16">
                  <c:v>0.14708520179372198</c:v>
                </c:pt>
                <c:pt idx="17">
                  <c:v>0.4710588235294117</c:v>
                </c:pt>
                <c:pt idx="18">
                  <c:v>0.4723</c:v>
                </c:pt>
                <c:pt idx="19">
                  <c:v>0.33829110875638185</c:v>
                </c:pt>
                <c:pt idx="20">
                  <c:v>6.3569682151589244E-2</c:v>
                </c:pt>
                <c:pt idx="21">
                  <c:v>0.27484716157205236</c:v>
                </c:pt>
                <c:pt idx="22">
                  <c:v>0.35</c:v>
                </c:pt>
                <c:pt idx="23">
                  <c:v>0.22</c:v>
                </c:pt>
                <c:pt idx="24">
                  <c:v>0.35</c:v>
                </c:pt>
                <c:pt idx="25">
                  <c:v>0.21660649819494582</c:v>
                </c:pt>
                <c:pt idx="26">
                  <c:v>0.27</c:v>
                </c:pt>
                <c:pt idx="2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6-460C-B014-D10CC5FE7B3A}"/>
            </c:ext>
          </c:extLst>
        </c:ser>
        <c:ser>
          <c:idx val="4"/>
          <c:order val="1"/>
          <c:tx>
            <c:strRef>
              <c:f>'Sorted diagram (EU)'!$E$2</c:f>
              <c:strCache>
                <c:ptCount val="1"/>
                <c:pt idx="0">
                  <c:v>Employees' social contributions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'Sorted diagram (EU)'!$E$3:$E$30</c:f>
              <c:numCache>
                <c:formatCode>0.00%</c:formatCode>
                <c:ptCount val="28"/>
                <c:pt idx="0">
                  <c:v>0</c:v>
                </c:pt>
                <c:pt idx="1">
                  <c:v>0.19035314384151594</c:v>
                </c:pt>
                <c:pt idx="2">
                  <c:v>0.10280814913867695</c:v>
                </c:pt>
                <c:pt idx="3">
                  <c:v>8.8888888888888892E-2</c:v>
                </c:pt>
                <c:pt idx="4">
                  <c:v>8.0882352941176475E-2</c:v>
                </c:pt>
                <c:pt idx="5">
                  <c:v>8.2334719165240086E-2</c:v>
                </c:pt>
                <c:pt idx="6">
                  <c:v>0.08</c:v>
                </c:pt>
                <c:pt idx="7">
                  <c:v>0</c:v>
                </c:pt>
                <c:pt idx="8">
                  <c:v>3.6052275799909869E-2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1.4E-2</c:v>
                </c:pt>
                <c:pt idx="13">
                  <c:v>1.7574692442882251E-2</c:v>
                </c:pt>
                <c:pt idx="14">
                  <c:v>0.1574468085106383</c:v>
                </c:pt>
                <c:pt idx="15">
                  <c:v>0</c:v>
                </c:pt>
                <c:pt idx="16">
                  <c:v>1.195814648729447E-2</c:v>
                </c:pt>
                <c:pt idx="17">
                  <c:v>0</c:v>
                </c:pt>
                <c:pt idx="18">
                  <c:v>0</c:v>
                </c:pt>
                <c:pt idx="19">
                  <c:v>3.534341585589057E-2</c:v>
                </c:pt>
                <c:pt idx="20">
                  <c:v>0.34229828850855742</c:v>
                </c:pt>
                <c:pt idx="21">
                  <c:v>0</c:v>
                </c:pt>
                <c:pt idx="22">
                  <c:v>0</c:v>
                </c:pt>
                <c:pt idx="23">
                  <c:v>0.13500000000000001</c:v>
                </c:pt>
                <c:pt idx="24">
                  <c:v>0</c:v>
                </c:pt>
                <c:pt idx="25">
                  <c:v>3.6101083032490974E-2</c:v>
                </c:pt>
                <c:pt idx="26">
                  <c:v>6.9800000000000001E-2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6-460C-B014-D10CC5FE7B3A}"/>
            </c:ext>
          </c:extLst>
        </c:ser>
        <c:ser>
          <c:idx val="1"/>
          <c:order val="2"/>
          <c:tx>
            <c:strRef>
              <c:f>'Sorted diagram (EU)'!$F$2</c:f>
              <c:strCache>
                <c:ptCount val="1"/>
                <c:pt idx="0">
                  <c:v>Payroll tax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'Sorted diagram (EU)'!$C$3:$C$30</c:f>
              <c:strCache>
                <c:ptCount val="28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Greece</c:v>
                </c:pt>
                <c:pt idx="11">
                  <c:v>12. Netherlands</c:v>
                </c:pt>
                <c:pt idx="12">
                  <c:v>13. Luxembourg</c:v>
                </c:pt>
                <c:pt idx="13">
                  <c:v>14. United Kingdom</c:v>
                </c:pt>
                <c:pt idx="14">
                  <c:v>15. Hungary</c:v>
                </c:pt>
                <c:pt idx="15">
                  <c:v>16. Germany</c:v>
                </c:pt>
                <c:pt idx="16">
                  <c:v>17. Estonia</c:v>
                </c:pt>
                <c:pt idx="17">
                  <c:v>18. Spain</c:v>
                </c:pt>
                <c:pt idx="18">
                  <c:v>19. Italy</c:v>
                </c:pt>
                <c:pt idx="19">
                  <c:v>20. Poland</c:v>
                </c:pt>
                <c:pt idx="20">
                  <c:v>21. Romania</c:v>
                </c:pt>
                <c:pt idx="21">
                  <c:v>22. Latvia</c:v>
                </c:pt>
                <c:pt idx="22">
                  <c:v>23. Malta</c:v>
                </c:pt>
                <c:pt idx="23">
                  <c:v>24. Czech Republic</c:v>
                </c:pt>
                <c:pt idx="24">
                  <c:v>25. Cyprus</c:v>
                </c:pt>
                <c:pt idx="25">
                  <c:v>26. Slovakia</c:v>
                </c:pt>
                <c:pt idx="26">
                  <c:v>27. Lithuania</c:v>
                </c:pt>
                <c:pt idx="27">
                  <c:v>28. Bulgaria</c:v>
                </c:pt>
              </c:strCache>
            </c:strRef>
          </c:cat>
          <c:val>
            <c:numRef>
              <c:f>'Sorted diagram (EU)'!$F$3:$F$30</c:f>
              <c:numCache>
                <c:formatCode>0.00%</c:formatCode>
                <c:ptCount val="28"/>
                <c:pt idx="0">
                  <c:v>0.23908080961801853</c:v>
                </c:pt>
                <c:pt idx="1">
                  <c:v>0.13867355727820843</c:v>
                </c:pt>
                <c:pt idx="2">
                  <c:v>0.21340360261150002</c:v>
                </c:pt>
                <c:pt idx="3">
                  <c:v>0.19191919191919191</c:v>
                </c:pt>
                <c:pt idx="4">
                  <c:v>0.17382683410442831</c:v>
                </c:pt>
                <c:pt idx="5">
                  <c:v>0.18480476074019728</c:v>
                </c:pt>
                <c:pt idx="6">
                  <c:v>0</c:v>
                </c:pt>
                <c:pt idx="7">
                  <c:v>6.4546304957904588E-2</c:v>
                </c:pt>
                <c:pt idx="8">
                  <c:v>9.869310500225327E-2</c:v>
                </c:pt>
                <c:pt idx="9">
                  <c:v>0.14163090128755365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0.12126537785588755</c:v>
                </c:pt>
                <c:pt idx="14">
                  <c:v>0.14893617021276595</c:v>
                </c:pt>
                <c:pt idx="15">
                  <c:v>0</c:v>
                </c:pt>
                <c:pt idx="16">
                  <c:v>0.25261584454409569</c:v>
                </c:pt>
                <c:pt idx="17">
                  <c:v>0</c:v>
                </c:pt>
                <c:pt idx="18">
                  <c:v>0</c:v>
                </c:pt>
                <c:pt idx="19">
                  <c:v>3.6701666506116948E-2</c:v>
                </c:pt>
                <c:pt idx="20">
                  <c:v>2.2004889975550123E-2</c:v>
                </c:pt>
                <c:pt idx="21">
                  <c:v>0.12663755458515283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9.7472924187725629E-2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6-460C-B014-D10CC5FE7B3A}"/>
            </c:ext>
          </c:extLst>
        </c:ser>
        <c:ser>
          <c:idx val="2"/>
          <c:order val="3"/>
          <c:tx>
            <c:strRef>
              <c:f>'Sorted diagram (EU)'!$G$2</c:f>
              <c:strCache>
                <c:ptCount val="1"/>
                <c:pt idx="0">
                  <c:v>Consumption tax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'Sorted diagram (EU)'!$C$3:$C$30</c:f>
              <c:strCache>
                <c:ptCount val="28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Greece</c:v>
                </c:pt>
                <c:pt idx="11">
                  <c:v>12. Netherlands</c:v>
                </c:pt>
                <c:pt idx="12">
                  <c:v>13. Luxembourg</c:v>
                </c:pt>
                <c:pt idx="13">
                  <c:v>14. United Kingdom</c:v>
                </c:pt>
                <c:pt idx="14">
                  <c:v>15. Hungary</c:v>
                </c:pt>
                <c:pt idx="15">
                  <c:v>16. Germany</c:v>
                </c:pt>
                <c:pt idx="16">
                  <c:v>17. Estonia</c:v>
                </c:pt>
                <c:pt idx="17">
                  <c:v>18. Spain</c:v>
                </c:pt>
                <c:pt idx="18">
                  <c:v>19. Italy</c:v>
                </c:pt>
                <c:pt idx="19">
                  <c:v>20. Poland</c:v>
                </c:pt>
                <c:pt idx="20">
                  <c:v>21. Romania</c:v>
                </c:pt>
                <c:pt idx="21">
                  <c:v>22. Latvia</c:v>
                </c:pt>
                <c:pt idx="22">
                  <c:v>23. Malta</c:v>
                </c:pt>
                <c:pt idx="23">
                  <c:v>24. Czech Republic</c:v>
                </c:pt>
                <c:pt idx="24">
                  <c:v>25. Cyprus</c:v>
                </c:pt>
                <c:pt idx="25">
                  <c:v>26. Slovakia</c:v>
                </c:pt>
                <c:pt idx="26">
                  <c:v>27. Lithuania</c:v>
                </c:pt>
                <c:pt idx="27">
                  <c:v>28. Bulgaria</c:v>
                </c:pt>
              </c:strCache>
            </c:strRef>
          </c:cat>
          <c:val>
            <c:numRef>
              <c:f>'Sorted diagram (EU)'!$G$3:$G$30</c:f>
              <c:numCache>
                <c:formatCode>0.00%</c:formatCode>
                <c:ptCount val="28"/>
                <c:pt idx="0">
                  <c:v>5.9957151259270751E-2</c:v>
                </c:pt>
                <c:pt idx="1">
                  <c:v>6.8749197412530036E-2</c:v>
                </c:pt>
                <c:pt idx="2">
                  <c:v>4.6463003023215738E-2</c:v>
                </c:pt>
                <c:pt idx="3">
                  <c:v>5.5728840137539162E-2</c:v>
                </c:pt>
                <c:pt idx="4">
                  <c:v>7.1576772501354829E-2</c:v>
                </c:pt>
                <c:pt idx="5">
                  <c:v>5.503409970439288E-2</c:v>
                </c:pt>
                <c:pt idx="6">
                  <c:v>0.10304212178201526</c:v>
                </c:pt>
                <c:pt idx="7">
                  <c:v>6.8274056410903464E-2</c:v>
                </c:pt>
                <c:pt idx="8">
                  <c:v>7.6110782852848294E-2</c:v>
                </c:pt>
                <c:pt idx="9">
                  <c:v>0.13346513472632168</c:v>
                </c:pt>
                <c:pt idx="10">
                  <c:v>7.1842603085850845E-2</c:v>
                </c:pt>
                <c:pt idx="11">
                  <c:v>7.5416656376914734E-2</c:v>
                </c:pt>
                <c:pt idx="12">
                  <c:v>0.12003342537326885</c:v>
                </c:pt>
                <c:pt idx="13">
                  <c:v>5.6758504642851683E-2</c:v>
                </c:pt>
                <c:pt idx="14">
                  <c:v>0.13779995888035573</c:v>
                </c:pt>
                <c:pt idx="15">
                  <c:v>7.2547570718223459E-2</c:v>
                </c:pt>
                <c:pt idx="16">
                  <c:v>0.13315265562946091</c:v>
                </c:pt>
                <c:pt idx="17">
                  <c:v>6.9942402822264063E-2</c:v>
                </c:pt>
                <c:pt idx="18">
                  <c:v>6.7888428776942636E-2</c:v>
                </c:pt>
                <c:pt idx="19">
                  <c:v>0.10340423891110588</c:v>
                </c:pt>
                <c:pt idx="20">
                  <c:v>7.5061793625155623E-2</c:v>
                </c:pt>
                <c:pt idx="21">
                  <c:v>0.10204501926828112</c:v>
                </c:pt>
                <c:pt idx="22">
                  <c:v>0.1308372224435444</c:v>
                </c:pt>
                <c:pt idx="23">
                  <c:v>0.12269956531409672</c:v>
                </c:pt>
                <c:pt idx="24">
                  <c:v>0.11604662502778715</c:v>
                </c:pt>
                <c:pt idx="25">
                  <c:v>9.648781501987988E-2</c:v>
                </c:pt>
                <c:pt idx="26">
                  <c:v>0.10471624326945372</c:v>
                </c:pt>
                <c:pt idx="27">
                  <c:v>0.18833916212509505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6-460C-B014-D10CC5FE7B3A}"/>
            </c:ext>
          </c:extLst>
        </c:ser>
        <c:ser>
          <c:idx val="3"/>
          <c:order val="4"/>
          <c:tx>
            <c:strRef>
              <c:f>'Sorted diagram (EU)'!$H$2</c:f>
              <c:strCache>
                <c:ptCount val="1"/>
                <c:pt idx="0">
                  <c:v>Effective marginal tax rate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'Sorted diagram (EU)'!$C$3:$C$30</c:f>
              <c:strCache>
                <c:ptCount val="28"/>
                <c:pt idx="0">
                  <c:v>1. Sweden</c:v>
                </c:pt>
                <c:pt idx="1">
                  <c:v>2. Slovenia</c:v>
                </c:pt>
                <c:pt idx="2">
                  <c:v>3. Belgium</c:v>
                </c:pt>
                <c:pt idx="3">
                  <c:v>4. Portugal</c:v>
                </c:pt>
                <c:pt idx="4">
                  <c:v>5. Finland</c:v>
                </c:pt>
                <c:pt idx="5">
                  <c:v>6. France</c:v>
                </c:pt>
                <c:pt idx="6">
                  <c:v>7. Denmark</c:v>
                </c:pt>
                <c:pt idx="7">
                  <c:v>8. Austria</c:v>
                </c:pt>
                <c:pt idx="8">
                  <c:v>9. Ireland</c:v>
                </c:pt>
                <c:pt idx="9">
                  <c:v>10. Croatia</c:v>
                </c:pt>
                <c:pt idx="10">
                  <c:v>11. Greece</c:v>
                </c:pt>
                <c:pt idx="11">
                  <c:v>12. Netherlands</c:v>
                </c:pt>
                <c:pt idx="12">
                  <c:v>13. Luxembourg</c:v>
                </c:pt>
                <c:pt idx="13">
                  <c:v>14. United Kingdom</c:v>
                </c:pt>
                <c:pt idx="14">
                  <c:v>15. Hungary</c:v>
                </c:pt>
                <c:pt idx="15">
                  <c:v>16. Germany</c:v>
                </c:pt>
                <c:pt idx="16">
                  <c:v>17. Estonia</c:v>
                </c:pt>
                <c:pt idx="17">
                  <c:v>18. Spain</c:v>
                </c:pt>
                <c:pt idx="18">
                  <c:v>19. Italy</c:v>
                </c:pt>
                <c:pt idx="19">
                  <c:v>20. Poland</c:v>
                </c:pt>
                <c:pt idx="20">
                  <c:v>21. Romania</c:v>
                </c:pt>
                <c:pt idx="21">
                  <c:v>22. Latvia</c:v>
                </c:pt>
                <c:pt idx="22">
                  <c:v>23. Malta</c:v>
                </c:pt>
                <c:pt idx="23">
                  <c:v>24. Czech Republic</c:v>
                </c:pt>
                <c:pt idx="24">
                  <c:v>25. Cyprus</c:v>
                </c:pt>
                <c:pt idx="25">
                  <c:v>26. Slovakia</c:v>
                </c:pt>
                <c:pt idx="26">
                  <c:v>27. Lithuania</c:v>
                </c:pt>
                <c:pt idx="27">
                  <c:v>28. Bulgaria</c:v>
                </c:pt>
              </c:strCache>
            </c:strRef>
          </c:cat>
          <c:val>
            <c:numRef>
              <c:f>'Sorted diagram (EU)'!$H$3:$H$30</c:f>
              <c:numCache>
                <c:formatCode>0%</c:formatCode>
                <c:ptCount val="28"/>
                <c:pt idx="0">
                  <c:v>0.75703522156820402</c:v>
                </c:pt>
                <c:pt idx="1">
                  <c:v>0.73326254797239221</c:v>
                </c:pt>
                <c:pt idx="2">
                  <c:v>0.72850146758704792</c:v>
                </c:pt>
                <c:pt idx="3">
                  <c:v>0.71770863811733709</c:v>
                </c:pt>
                <c:pt idx="4">
                  <c:v>0.70735315221054196</c:v>
                </c:pt>
                <c:pt idx="5">
                  <c:v>0.69285915880604776</c:v>
                </c:pt>
                <c:pt idx="6">
                  <c:v>0.66190212178201524</c:v>
                </c:pt>
                <c:pt idx="7">
                  <c:v>0.64731989364196052</c:v>
                </c:pt>
                <c:pt idx="8">
                  <c:v>0.64348347325392996</c:v>
                </c:pt>
                <c:pt idx="9">
                  <c:v>0.63973122914692249</c:v>
                </c:pt>
                <c:pt idx="10">
                  <c:v>0.62184260308585093</c:v>
                </c:pt>
                <c:pt idx="11">
                  <c:v>0.59291665637691471</c:v>
                </c:pt>
                <c:pt idx="12">
                  <c:v>0.59183342537326888</c:v>
                </c:pt>
                <c:pt idx="13">
                  <c:v>0.59102915490647223</c:v>
                </c:pt>
                <c:pt idx="14">
                  <c:v>0.57184251207184511</c:v>
                </c:pt>
                <c:pt idx="15">
                  <c:v>0.54729757071822349</c:v>
                </c:pt>
                <c:pt idx="16">
                  <c:v>0.54481184845457298</c:v>
                </c:pt>
                <c:pt idx="17">
                  <c:v>0.5410012263516758</c:v>
                </c:pt>
                <c:pt idx="18">
                  <c:v>0.54018842877694262</c:v>
                </c:pt>
                <c:pt idx="19">
                  <c:v>0.51374043002949521</c:v>
                </c:pt>
                <c:pt idx="20">
                  <c:v>0.50293465426085238</c:v>
                </c:pt>
                <c:pt idx="21">
                  <c:v>0.50352973542548629</c:v>
                </c:pt>
                <c:pt idx="22">
                  <c:v>0.48083722244354438</c:v>
                </c:pt>
                <c:pt idx="23">
                  <c:v>0.47769956531409669</c:v>
                </c:pt>
                <c:pt idx="24">
                  <c:v>0.46604662502778715</c:v>
                </c:pt>
                <c:pt idx="25">
                  <c:v>0.44666832043504234</c:v>
                </c:pt>
                <c:pt idx="26">
                  <c:v>0.44451624326945371</c:v>
                </c:pt>
                <c:pt idx="27">
                  <c:v>0.28833916212509503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F6-460C-B014-D10CC5FE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25152"/>
        <c:axId val="177072000"/>
      </c:barChart>
      <c:catAx>
        <c:axId val="176625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7072000"/>
        <c:crosses val="autoZero"/>
        <c:auto val="1"/>
        <c:lblAlgn val="ctr"/>
        <c:lblOffset val="100"/>
        <c:noMultiLvlLbl val="0"/>
      </c:catAx>
      <c:valAx>
        <c:axId val="177072000"/>
        <c:scaling>
          <c:orientation val="minMax"/>
          <c:max val="0.76000000000000012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176625152"/>
        <c:crosses val="max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215791700214258"/>
          <c:y val="0.73888539888798044"/>
          <c:w val="0.29219592263957944"/>
          <c:h val="0.212010383947908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'Country groups'!$M$18</c:f>
              <c:strCache>
                <c:ptCount val="1"/>
                <c:pt idx="0">
                  <c:v>2019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'Country groups'!$P$19:$P$24</c:f>
                <c:numCache>
                  <c:formatCode>General</c:formatCode>
                  <c:ptCount val="6"/>
                  <c:pt idx="0">
                    <c:v>0.21807379810827821</c:v>
                  </c:pt>
                  <c:pt idx="1">
                    <c:v>8.9057456559178294E-2</c:v>
                  </c:pt>
                  <c:pt idx="2">
                    <c:v>0.10535361852671821</c:v>
                  </c:pt>
                  <c:pt idx="3">
                    <c:v>0.15643784748348077</c:v>
                  </c:pt>
                  <c:pt idx="4">
                    <c:v>0.11980271295649181</c:v>
                  </c:pt>
                  <c:pt idx="5">
                    <c:v>9.377245131460743E-2</c:v>
                  </c:pt>
                </c:numCache>
              </c:numRef>
            </c:plus>
            <c:minus>
              <c:numRef>
                <c:f>'Country groups'!$Q$19:$Q$24</c:f>
                <c:numCache>
                  <c:formatCode>General</c:formatCode>
                  <c:ptCount val="6"/>
                  <c:pt idx="0">
                    <c:v>0.22684958773901898</c:v>
                  </c:pt>
                  <c:pt idx="1">
                    <c:v>7.7535406602723511E-2</c:v>
                  </c:pt>
                  <c:pt idx="2">
                    <c:v>0.10176781608429364</c:v>
                  </c:pt>
                  <c:pt idx="3">
                    <c:v>9.5224165606069167E-2</c:v>
                  </c:pt>
                  <c:pt idx="4">
                    <c:v>0.14853564472012676</c:v>
                  </c:pt>
                  <c:pt idx="5">
                    <c:v>8.5148026079844674E-2</c:v>
                  </c:pt>
                </c:numCache>
              </c:numRef>
            </c:minus>
            <c:spPr>
              <a:noFill/>
              <a:ln w="9525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'Country groups'!$L$19:$L$23</c:f>
              <c:strCache>
                <c:ptCount val="5"/>
                <c:pt idx="0">
                  <c:v>Ex-Communist</c:v>
                </c:pt>
                <c:pt idx="1">
                  <c:v>Nordics</c:v>
                </c:pt>
                <c:pt idx="2">
                  <c:v>Anglo-Saxon</c:v>
                </c:pt>
                <c:pt idx="3">
                  <c:v>Southern Europe</c:v>
                </c:pt>
                <c:pt idx="4">
                  <c:v>Western Europe</c:v>
                </c:pt>
              </c:strCache>
            </c:strRef>
          </c:cat>
          <c:val>
            <c:numRef>
              <c:f>'Country groups'!$M$19:$M$23</c:f>
              <c:numCache>
                <c:formatCode>0.00%</c:formatCode>
                <c:ptCount val="5"/>
                <c:pt idx="0">
                  <c:v>0.515188749864114</c:v>
                </c:pt>
                <c:pt idx="1">
                  <c:v>0.66797776500902573</c:v>
                </c:pt>
                <c:pt idx="2">
                  <c:v>0.53812985472721175</c:v>
                </c:pt>
                <c:pt idx="3">
                  <c:v>0.56127079063385632</c:v>
                </c:pt>
                <c:pt idx="4">
                  <c:v>0.60869875463055612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857-8C8B-6E3214474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514099504"/>
        <c:axId val="515206376"/>
      </c:barChart>
      <c:catAx>
        <c:axId val="51409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5206376"/>
        <c:crosses val="autoZero"/>
        <c:auto val="1"/>
        <c:lblAlgn val="ctr"/>
        <c:lblOffset val="100"/>
        <c:noMultiLvlLbl val="0"/>
      </c:catAx>
      <c:valAx>
        <c:axId val="515206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Effective  marginal tax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409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'Country groups'!$O$18</c:f>
              <c:strCache>
                <c:ptCount val="1"/>
                <c:pt idx="0">
                  <c:v>Change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'Country groups'!$T$19:$T$23</c:f>
                <c:numCache>
                  <c:formatCode>General</c:formatCode>
                  <c:ptCount val="5"/>
                  <c:pt idx="0">
                    <c:v>7.840428574286383E-2</c:v>
                  </c:pt>
                  <c:pt idx="1">
                    <c:v>8.0132185566559599E-3</c:v>
                  </c:pt>
                  <c:pt idx="2">
                    <c:v>1.0370211112087108E-2</c:v>
                  </c:pt>
                  <c:pt idx="3">
                    <c:v>7.3396645708125513E-2</c:v>
                  </c:pt>
                  <c:pt idx="4">
                    <c:v>1.8653352856800073E-2</c:v>
                  </c:pt>
                </c:numCache>
              </c:numRef>
            </c:plus>
            <c:minus>
              <c:numRef>
                <c:f>'Country groups'!$U$19:$U$23</c:f>
                <c:numCache>
                  <c:formatCode>General</c:formatCode>
                  <c:ptCount val="5"/>
                  <c:pt idx="0">
                    <c:v>6.9536844554372826E-2</c:v>
                  </c:pt>
                  <c:pt idx="1">
                    <c:v>7.0825117631204415E-3</c:v>
                  </c:pt>
                  <c:pt idx="2">
                    <c:v>1.832616007449242E-2</c:v>
                  </c:pt>
                  <c:pt idx="3">
                    <c:v>3.8999670747693643E-2</c:v>
                  </c:pt>
                  <c:pt idx="4">
                    <c:v>4.3721506388458078E-2</c:v>
                  </c:pt>
                </c:numCache>
              </c:numRef>
            </c:minus>
            <c:spPr>
              <a:noFill/>
              <a:ln w="9525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'Country groups'!$L$19:$L$23</c:f>
              <c:strCache>
                <c:ptCount val="5"/>
                <c:pt idx="0">
                  <c:v>Ex-Communist</c:v>
                </c:pt>
                <c:pt idx="1">
                  <c:v>Nordics</c:v>
                </c:pt>
                <c:pt idx="2">
                  <c:v>Anglo-Saxon</c:v>
                </c:pt>
                <c:pt idx="3">
                  <c:v>Southern Europe</c:v>
                </c:pt>
                <c:pt idx="4">
                  <c:v>Western Europe</c:v>
                </c:pt>
              </c:strCache>
            </c:strRef>
          </c:cat>
          <c:val>
            <c:numRef>
              <c:f>'Country groups'!$O$19:$O$23</c:f>
              <c:numCache>
                <c:formatCode>0.00%</c:formatCode>
                <c:ptCount val="5"/>
                <c:pt idx="0">
                  <c:v>8.1234588921618358E-3</c:v>
                </c:pt>
                <c:pt idx="1">
                  <c:v>-4.5956173821219137E-3</c:v>
                </c:pt>
                <c:pt idx="2">
                  <c:v>-8.9309678694120265E-3</c:v>
                </c:pt>
                <c:pt idx="3">
                  <c:v>2.1091387768710584E-2</c:v>
                </c:pt>
                <c:pt idx="4">
                  <c:v>-4.1442890472060245E-3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4-403F-BF93-A5D198E4B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6910048"/>
        <c:axId val="406912016"/>
      </c:barChart>
      <c:catAx>
        <c:axId val="4069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6912016"/>
        <c:crosses val="autoZero"/>
        <c:auto val="1"/>
        <c:lblAlgn val="ctr"/>
        <c:lblOffset val="100"/>
        <c:noMultiLvlLbl val="0"/>
      </c:catAx>
      <c:valAx>
        <c:axId val="406912016"/>
        <c:scaling>
          <c:orientation val="minMax"/>
          <c:max val="0.1"/>
          <c:min val="-8.0000000000000016E-2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aseline="0">
                    <a:solidFill>
                      <a:sysClr val="windowText" lastClr="000000"/>
                    </a:solidFill>
                  </a:rPr>
                  <a:t>Change in effective  marginal tax rate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69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  <cx:data id="1">
      <cx:numDim type="val">
        <cx:f>_xlchart.v1.7</cx:f>
      </cx:numDim>
    </cx:data>
    <cx:data id="2">
      <cx:numDim type="val">
        <cx:f>_xlchart.v1.8</cx:f>
      </cx:numDim>
    </cx:data>
    <cx:data id="3">
      <cx:numDim type="val">
        <cx:f>_xlchart.v1.9</cx:f>
      </cx:numDim>
    </cx:data>
    <cx:data id="4">
      <cx:numDim type="val">
        <cx:f>_xlchart.v1.6</cx:f>
      </cx:numDim>
    </cx:data>
  </cx:chartData>
  <cx:chart>
    <cx:title pos="t" align="ctr" overlay="0">
      <cx:tx>
        <cx:txData>
          <cx:v>Change: Marginal Effective Tax Rates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Change: Marginal Effective Tax Rates </a:t>
          </a:r>
        </a:p>
      </cx:txPr>
    </cx:title>
    <cx:plotArea>
      <cx:plotAreaRegion>
        <cx:series layoutId="boxWhisker" uniqueId="{90A0A28B-9AAE-40F2-A322-7516C3CAE160}">
          <cx:tx>
            <cx:txData>
              <cx:f/>
              <cx:v>Ex-Communist</cx:v>
            </cx:txData>
          </cx:tx>
          <cx:dataId val="0"/>
          <cx:layoutPr>
            <cx:visibility meanLine="1" meanMarker="0" nonoutliers="0" outliers="1"/>
            <cx:statistics quartileMethod="exclusive"/>
          </cx:layoutPr>
        </cx:series>
        <cx:series layoutId="boxWhisker" uniqueId="{00000001-369F-4E9F-AF12-FBC762167B45}">
          <cx:tx>
            <cx:txData>
              <cx:f/>
              <cx:v>Nordics</cx:v>
            </cx:txData>
          </cx:tx>
          <cx:dataId val="1"/>
          <cx:layoutPr>
            <cx:visibility meanLine="1" meanMarker="0" nonoutliers="0" outliers="1"/>
            <cx:statistics quartileMethod="exclusive"/>
          </cx:layoutPr>
        </cx:series>
        <cx:series layoutId="boxWhisker" uniqueId="{00000002-369F-4E9F-AF12-FBC762167B45}">
          <cx:tx>
            <cx:txData>
              <cx:f/>
              <cx:v>Southern Europe</cx:v>
            </cx:txData>
          </cx:tx>
          <cx:dataId val="2"/>
          <cx:layoutPr>
            <cx:visibility meanLine="1" meanMarker="0" nonoutliers="0" outliers="1"/>
            <cx:statistics quartileMethod="exclusive"/>
          </cx:layoutPr>
        </cx:series>
        <cx:series layoutId="boxWhisker" uniqueId="{00000003-369F-4E9F-AF12-FBC762167B45}">
          <cx:tx>
            <cx:txData>
              <cx:f/>
              <cx:v>Western Europe</cx:v>
            </cx:txData>
          </cx:tx>
          <cx:dataId val="3"/>
          <cx:layoutPr>
            <cx:visibility meanLine="1" meanMarker="0" nonoutliers="0" outliers="1"/>
            <cx:statistics quartileMethod="exclusive"/>
          </cx:layoutPr>
        </cx:series>
        <cx:series layoutId="boxWhisker" uniqueId="{00000004-369F-4E9F-AF12-FBC762167B45}">
          <cx:tx>
            <cx:txData>
              <cx:f/>
              <cx:v>Anglo-Saxons</cx:v>
            </cx:txData>
          </cx:tx>
          <cx:dataId val="4"/>
          <cx:layoutPr>
            <cx:visibility meanLine="1" meanMarker="0" nonoutliers="0" outliers="1"/>
            <cx:statistics quartileMethod="exclusive"/>
          </cx:layoutPr>
        </cx:series>
      </cx:plotAreaRegion>
      <cx:axis id="0" hidden="1">
        <cx:catScaling gapWidth="1.10000002"/>
        <cx:tickLabels/>
      </cx:axis>
      <cx:axis id="1">
        <cx:valScaling/>
        <cx:majorGridlines/>
        <cx:tickLabels/>
      </cx:axis>
    </cx:plotArea>
    <cx:legend pos="t" align="ctr" overlay="0"/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_xlchart.v1.2</cx:f>
      </cx:numDim>
    </cx:data>
    <cx:data id="2">
      <cx:numDim type="val">
        <cx:f>_xlchart.v1.3</cx:f>
      </cx:numDim>
    </cx:data>
    <cx:data id="3">
      <cx:numDim type="val">
        <cx:f>_xlchart.v1.4</cx:f>
      </cx:numDim>
    </cx:data>
    <cx:data id="4">
      <cx:numDim type="val">
        <cx:f>_xlchart.v1.1</cx:f>
      </cx:numDim>
    </cx:data>
  </cx:chartData>
  <cx:chart>
    <cx:title pos="t" align="ctr" overlay="0">
      <cx:tx>
        <cx:txData>
          <cx:v>Change: Marginal Effective Tax Rates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Change: Marginal Effective Tax Rates </a:t>
          </a:r>
        </a:p>
      </cx:txPr>
    </cx:title>
    <cx:plotArea>
      <cx:plotAreaRegion>
        <cx:series layoutId="boxWhisker" uniqueId="{90A0A28B-9AAE-40F2-A322-7516C3CAE160}">
          <cx:tx>
            <cx:txData>
              <cx:f/>
              <cx:v>Ex-Communist</cx:v>
            </cx:txData>
          </cx:tx>
          <cx:dataId val="0"/>
          <cx:layoutPr>
            <cx:visibility meanLine="1" meanMarker="0" nonoutliers="0" outliers="1"/>
            <cx:statistics quartileMethod="exclusive"/>
          </cx:layoutPr>
        </cx:series>
        <cx:series layoutId="boxWhisker" uniqueId="{00000001-369F-4E9F-AF12-FBC762167B45}">
          <cx:tx>
            <cx:txData>
              <cx:f/>
              <cx:v>Nordics</cx:v>
            </cx:txData>
          </cx:tx>
          <cx:dataId val="1"/>
          <cx:layoutPr>
            <cx:visibility meanLine="1" meanMarker="0" nonoutliers="0" outliers="1"/>
            <cx:statistics quartileMethod="exclusive"/>
          </cx:layoutPr>
        </cx:series>
        <cx:series layoutId="boxWhisker" uniqueId="{00000002-369F-4E9F-AF12-FBC762167B45}">
          <cx:tx>
            <cx:txData>
              <cx:f/>
              <cx:v>Southern Europe</cx:v>
            </cx:txData>
          </cx:tx>
          <cx:dataId val="2"/>
          <cx:layoutPr>
            <cx:visibility meanLine="1" meanMarker="0" nonoutliers="0" outliers="1"/>
            <cx:statistics quartileMethod="exclusive"/>
          </cx:layoutPr>
        </cx:series>
        <cx:series layoutId="boxWhisker" uniqueId="{00000003-369F-4E9F-AF12-FBC762167B45}">
          <cx:tx>
            <cx:txData>
              <cx:f/>
              <cx:v>Western Europe</cx:v>
            </cx:txData>
          </cx:tx>
          <cx:dataId val="3"/>
          <cx:layoutPr>
            <cx:visibility meanLine="1" meanMarker="0" nonoutliers="0" outliers="1"/>
            <cx:statistics quartileMethod="exclusive"/>
          </cx:layoutPr>
        </cx:series>
        <cx:series layoutId="boxWhisker" uniqueId="{00000004-369F-4E9F-AF12-FBC762167B45}">
          <cx:tx>
            <cx:txData>
              <cx:f/>
              <cx:v>Anglo-Saxons</cx:v>
            </cx:txData>
          </cx:tx>
          <cx:dataId val="4"/>
          <cx:layoutPr>
            <cx:visibility meanLine="1" meanMarker="0" nonoutliers="0" outliers="1"/>
            <cx:statistics quartileMethod="exclusive"/>
          </cx:layoutPr>
        </cx:series>
      </cx:plotAreaRegion>
      <cx:axis id="0" hidden="1">
        <cx:catScaling gapWidth="1.10000002"/>
        <cx:tickLabels/>
      </cx:axis>
      <cx:axis id="1">
        <cx:valScaling max="0.12000000000000001"/>
        <cx:majorGridlines/>
        <cx:tickLabels/>
      </cx:axis>
    </cx:plotArea>
    <cx:legend pos="t" align="ctr" overlay="0"/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57149</xdr:rowOff>
    </xdr:from>
    <xdr:to>
      <xdr:col>19</xdr:col>
      <xdr:colOff>276225</xdr:colOff>
      <xdr:row>46</xdr:row>
      <xdr:rowOff>104774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28574</xdr:rowOff>
    </xdr:from>
    <xdr:to>
      <xdr:col>19</xdr:col>
      <xdr:colOff>19050</xdr:colOff>
      <xdr:row>38</xdr:row>
      <xdr:rowOff>76199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28574</xdr:rowOff>
    </xdr:from>
    <xdr:to>
      <xdr:col>19</xdr:col>
      <xdr:colOff>19050</xdr:colOff>
      <xdr:row>34</xdr:row>
      <xdr:rowOff>76199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229230</xdr:colOff>
      <xdr:row>26</xdr:row>
      <xdr:rowOff>102458</xdr:rowOff>
    </xdr:from>
    <xdr:to>
      <xdr:col>11</xdr:col>
      <xdr:colOff>503290</xdr:colOff>
      <xdr:row>40</xdr:row>
      <xdr:rowOff>488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404143</xdr:colOff>
      <xdr:row>25</xdr:row>
      <xdr:rowOff>30841</xdr:rowOff>
    </xdr:from>
    <xdr:to>
      <xdr:col>19</xdr:col>
      <xdr:colOff>546652</xdr:colOff>
      <xdr:row>40</xdr:row>
      <xdr:rowOff>82827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352185</xdr:colOff>
      <xdr:row>70</xdr:row>
      <xdr:rowOff>57148</xdr:rowOff>
    </xdr:from>
    <xdr:to>
      <xdr:col>29</xdr:col>
      <xdr:colOff>353784</xdr:colOff>
      <xdr:row>91</xdr:row>
      <xdr:rowOff>23813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11035" y="11391898"/>
              <a:ext cx="7545399" cy="33670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>
    <xdr:from>
      <xdr:col>18</xdr:col>
      <xdr:colOff>0</xdr:colOff>
      <xdr:row>72</xdr:row>
      <xdr:rowOff>0</xdr:rowOff>
    </xdr:from>
    <xdr:to>
      <xdr:col>30</xdr:col>
      <xdr:colOff>151278</xdr:colOff>
      <xdr:row>92</xdr:row>
      <xdr:rowOff>123547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Diagram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20850" y="11658600"/>
              <a:ext cx="7542678" cy="33620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L18:O24" totalsRowShown="0" headerRowDxfId="50" dataDxfId="49">
  <autoFilter ref="L18:O24" xr:uid="{00000000-0009-0000-0100-000001000000}"/>
  <tableColumns count="4">
    <tableColumn id="1" xr3:uid="{00000000-0010-0000-0000-000001000000}" name="Kolumn1" dataDxfId="48"/>
    <tableColumn id="2" xr3:uid="{00000000-0010-0000-0000-000002000000}" name="2019" dataDxfId="47"/>
    <tableColumn id="3" xr3:uid="{00000000-0010-0000-0000-000003000000}" name="2016" dataDxfId="46"/>
    <tableColumn id="4" xr3:uid="{00000000-0010-0000-0000-000004000000}" name="Change" dataDxfId="4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3" displayName="Tabell3" ref="A2:D13" totalsRowShown="0" headerRowDxfId="44" dataDxfId="43">
  <autoFilter ref="A2:D13" xr:uid="{00000000-0009-0000-0100-000003000000}"/>
  <tableColumns count="4">
    <tableColumn id="1" xr3:uid="{00000000-0010-0000-0100-000001000000}" name="Ex-communist" dataDxfId="42"/>
    <tableColumn id="2" xr3:uid="{00000000-0010-0000-0100-000002000000}" name="2019" dataDxfId="41"/>
    <tableColumn id="3" xr3:uid="{00000000-0010-0000-0100-000003000000}" name="2016" dataDxfId="40"/>
    <tableColumn id="4" xr3:uid="{00000000-0010-0000-0100-000004000000}" name="Change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4" displayName="Tabell4" ref="A22:D28" totalsRowShown="0" headerRowDxfId="38" dataDxfId="37">
  <autoFilter ref="A22:D28" xr:uid="{00000000-0009-0000-0100-000004000000}"/>
  <tableColumns count="4">
    <tableColumn id="1" xr3:uid="{00000000-0010-0000-0200-000001000000}" name="Other" dataDxfId="36"/>
    <tableColumn id="2" xr3:uid="{00000000-0010-0000-0200-000002000000}" name="2019" dataDxfId="35"/>
    <tableColumn id="3" xr3:uid="{00000000-0010-0000-0200-000003000000}" name="2016" dataDxfId="34"/>
    <tableColumn id="4" xr3:uid="{00000000-0010-0000-0200-000004000000}" name="Change" dataDxfId="3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5" displayName="Tabell5" ref="F2:I7" totalsRowShown="0" headerRowDxfId="32" dataDxfId="31">
  <autoFilter ref="F2:I7" xr:uid="{00000000-0009-0000-0100-000005000000}"/>
  <tableColumns count="4">
    <tableColumn id="1" xr3:uid="{00000000-0010-0000-0300-000001000000}" name="Northern Europe" dataDxfId="30"/>
    <tableColumn id="2" xr3:uid="{00000000-0010-0000-0300-000002000000}" name="2019" dataDxfId="29"/>
    <tableColumn id="3" xr3:uid="{00000000-0010-0000-0300-000003000000}" name="2016" dataDxfId="28"/>
    <tableColumn id="4" xr3:uid="{00000000-0010-0000-0300-000004000000}" name="Change" dataDxfId="2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6" displayName="Tabell6" ref="K2:O12" totalsRowShown="0" headerRowDxfId="26" dataDxfId="25">
  <autoFilter ref="K2:O12" xr:uid="{00000000-0009-0000-0100-000006000000}"/>
  <tableColumns count="5">
    <tableColumn id="1" xr3:uid="{00000000-0010-0000-0400-000001000000}" name="Southern Europe" dataDxfId="24"/>
    <tableColumn id="2" xr3:uid="{00000000-0010-0000-0400-000002000000}" name="2019" dataDxfId="23"/>
    <tableColumn id="3" xr3:uid="{00000000-0010-0000-0400-000003000000}" name="2016" dataDxfId="22"/>
    <tableColumn id="4" xr3:uid="{00000000-0010-0000-0400-000004000000}" name="Change" dataDxfId="21"/>
    <tableColumn id="5" xr3:uid="{00000000-0010-0000-0400-000005000000}" name="Kolumn1" dataDxfId="2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7" displayName="Tabell7" ref="P2:S9" totalsRowShown="0" headerRowDxfId="19" dataDxfId="18">
  <autoFilter ref="P2:S9" xr:uid="{00000000-0009-0000-0100-000007000000}"/>
  <tableColumns count="4">
    <tableColumn id="1" xr3:uid="{00000000-0010-0000-0500-000001000000}" name="Western Europe" dataDxfId="17"/>
    <tableColumn id="2" xr3:uid="{00000000-0010-0000-0500-000002000000}" name="2019" dataDxfId="16"/>
    <tableColumn id="3" xr3:uid="{00000000-0010-0000-0500-000003000000}" name="2016" dataDxfId="15"/>
    <tableColumn id="4" xr3:uid="{00000000-0010-0000-0500-000004000000}" name="Change" dataDxfId="1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8" displayName="Tabell8" ref="F14:I20" totalsRowShown="0" headerRowDxfId="13" dataDxfId="12">
  <autoFilter ref="F14:I20" xr:uid="{00000000-0009-0000-0100-000008000000}"/>
  <tableColumns count="4">
    <tableColumn id="1" xr3:uid="{00000000-0010-0000-0600-000001000000}" name="Anglo-Saxon" dataDxfId="11"/>
    <tableColumn id="2" xr3:uid="{00000000-0010-0000-0600-000002000000}" name="2019" dataDxfId="10"/>
    <tableColumn id="3" xr3:uid="{00000000-0010-0000-0600-000003000000}" name="2016" dataDxfId="9"/>
    <tableColumn id="4" xr3:uid="{00000000-0010-0000-0600-000004000000}" name="Change" dataDxfId="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9" displayName="Tabell9" ref="P18:U23" totalsRowShown="0" headerRowDxfId="7" dataDxfId="6">
  <autoFilter ref="P18:U23" xr:uid="{00000000-0009-0000-0100-000009000000}"/>
  <tableColumns count="6">
    <tableColumn id="1" xr3:uid="{00000000-0010-0000-0700-000001000000}" name="Max 2019" dataDxfId="5"/>
    <tableColumn id="2" xr3:uid="{00000000-0010-0000-0700-000002000000}" name="Min 2019" dataDxfId="4"/>
    <tableColumn id="3" xr3:uid="{00000000-0010-0000-0700-000003000000}" name="Max 2016" dataDxfId="3"/>
    <tableColumn id="4" xr3:uid="{00000000-0010-0000-0700-000004000000}" name="Min 2016" dataDxfId="2"/>
    <tableColumn id="5" xr3:uid="{00000000-0010-0000-0700-000005000000}" name="Max 20192" dataDxfId="1">
      <calculatedColumnFormula>(D15-D14)</calculatedColumnFormula>
    </tableColumn>
    <tableColumn id="6" xr3:uid="{00000000-0010-0000-0700-000006000000}" name="Min 2019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4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57" sqref="J56:J57"/>
    </sheetView>
  </sheetViews>
  <sheetFormatPr defaultColWidth="14.42578125" defaultRowHeight="15.75" customHeight="1" x14ac:dyDescent="0.2"/>
  <cols>
    <col min="1" max="6" width="14.42578125" style="1"/>
    <col min="7" max="7" width="12.7109375" style="1" customWidth="1"/>
    <col min="8" max="9" width="18" style="1" customWidth="1"/>
    <col min="10" max="14" width="14.42578125" style="1"/>
    <col min="15" max="17" width="7.7109375" style="1" customWidth="1"/>
    <col min="18" max="18" width="14.42578125" style="1"/>
    <col min="19" max="19" width="18" style="1" bestFit="1" customWidth="1"/>
    <col min="20" max="16384" width="14.42578125" style="1"/>
  </cols>
  <sheetData>
    <row r="1" spans="1:19" ht="15.75" customHeight="1" x14ac:dyDescent="0.2">
      <c r="B1" s="27" t="s">
        <v>0</v>
      </c>
      <c r="C1" s="28"/>
      <c r="D1" s="28"/>
      <c r="E1" s="27"/>
      <c r="F1" s="28"/>
      <c r="G1" s="28"/>
      <c r="H1" s="28"/>
      <c r="I1" s="28"/>
      <c r="J1" s="29"/>
      <c r="K1" s="30" t="s">
        <v>81</v>
      </c>
      <c r="L1" s="31"/>
      <c r="M1" s="31"/>
      <c r="N1" s="31"/>
      <c r="O1" s="18" t="s">
        <v>86</v>
      </c>
      <c r="P1" s="18"/>
      <c r="Q1" s="34"/>
      <c r="R1" s="32" t="s">
        <v>83</v>
      </c>
      <c r="S1" s="33"/>
    </row>
    <row r="2" spans="1:19" ht="15.75" customHeight="1" x14ac:dyDescent="0.2">
      <c r="A2" s="3"/>
      <c r="B2" s="38" t="s">
        <v>1</v>
      </c>
      <c r="C2" s="38"/>
      <c r="D2" s="38"/>
      <c r="E2" s="38" t="s">
        <v>89</v>
      </c>
      <c r="F2" s="38"/>
      <c r="G2" s="3"/>
      <c r="H2" s="3"/>
      <c r="I2" s="3"/>
      <c r="K2" s="12"/>
      <c r="L2" s="12"/>
    </row>
    <row r="3" spans="1:19" ht="15.75" customHeight="1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55</v>
      </c>
      <c r="G3" s="2" t="s">
        <v>82</v>
      </c>
      <c r="H3" s="2" t="s">
        <v>9</v>
      </c>
      <c r="I3" s="20" t="s">
        <v>77</v>
      </c>
      <c r="J3" s="20" t="s">
        <v>54</v>
      </c>
      <c r="K3" s="2" t="s">
        <v>1</v>
      </c>
      <c r="L3" s="2" t="s">
        <v>2</v>
      </c>
      <c r="M3" s="2" t="s">
        <v>8</v>
      </c>
      <c r="N3" s="2" t="s">
        <v>78</v>
      </c>
      <c r="O3" s="2" t="s">
        <v>20</v>
      </c>
      <c r="P3" s="2" t="s">
        <v>88</v>
      </c>
      <c r="Q3" s="2" t="s">
        <v>11</v>
      </c>
      <c r="R3" s="2" t="s">
        <v>84</v>
      </c>
      <c r="S3" s="2" t="s">
        <v>85</v>
      </c>
    </row>
    <row r="4" spans="1:19" ht="15.75" customHeight="1" x14ac:dyDescent="0.2">
      <c r="A4" s="6" t="s">
        <v>10</v>
      </c>
      <c r="B4" s="7">
        <v>0.45</v>
      </c>
      <c r="C4" s="7"/>
      <c r="D4" s="7"/>
      <c r="E4" s="7"/>
      <c r="F4" s="26">
        <v>0.02</v>
      </c>
      <c r="G4" s="7">
        <f>(5.45%+4.85%+4.95%+4.95%+5.5%+6.1%+5.5%+6.85%)/8</f>
        <v>5.51875E-2</v>
      </c>
      <c r="H4" s="8">
        <v>7.5932572896909703E-2</v>
      </c>
      <c r="I4" s="24">
        <f>((B4+C4+D4)*(1-E4)+F4+E4+G4+H4*(1-((B4+C4+D4)*(1-E4)+F4+E4)))/(1+G4)</f>
        <v>0.53585904271550056</v>
      </c>
      <c r="J4" s="25">
        <f>_xlfn.RANK.EQ(I4,I$4:I$44)</f>
        <v>25</v>
      </c>
      <c r="K4" s="21">
        <f>(B4+C4+D4)*(1-E4)/(1+G4)</f>
        <v>0.42646449090801403</v>
      </c>
      <c r="L4" s="21">
        <f>(E4+F4)/(1+G4)</f>
        <v>1.895397737368951E-2</v>
      </c>
      <c r="M4" s="21">
        <f>G4/(1+G4)</f>
        <v>5.2301131315524496E-2</v>
      </c>
      <c r="N4" s="21">
        <f>H4*(1-((B4+C4+D4)*(1-E4)+E4+F4))/(1+G4)</f>
        <v>3.8139443118272484E-2</v>
      </c>
      <c r="O4" s="25"/>
      <c r="P4" s="25"/>
      <c r="Q4" s="25">
        <v>1</v>
      </c>
      <c r="R4" s="7">
        <v>0.55213148765743636</v>
      </c>
      <c r="S4" s="11">
        <f>(I4-R4)</f>
        <v>-1.6272444941935804E-2</v>
      </c>
    </row>
    <row r="5" spans="1:19" ht="15.75" customHeight="1" x14ac:dyDescent="0.2">
      <c r="A5" s="6" t="s">
        <v>12</v>
      </c>
      <c r="B5" s="7">
        <v>0.55000000000000004</v>
      </c>
      <c r="C5" s="7"/>
      <c r="D5" s="7"/>
      <c r="E5" s="7"/>
      <c r="F5" s="7"/>
      <c r="G5" s="5">
        <f>(0.03+0.039)</f>
        <v>6.9000000000000006E-2</v>
      </c>
      <c r="H5" s="8">
        <v>0.16218881400723512</v>
      </c>
      <c r="I5" s="24">
        <f t="shared" ref="I5:I44" si="0">((B5+C5+D5)*(1-E5)+F5+E5+G5+H5*(1-((B5+C5+D5)*(1-E5)+F5+E5)))/(1+G5)</f>
        <v>0.64731989364196052</v>
      </c>
      <c r="J5" s="25">
        <f t="shared" ref="J5:J44" si="1">_xlfn.RANK.EQ(I5,I$4:I$44)</f>
        <v>8</v>
      </c>
      <c r="K5" s="21">
        <f>(B5+C5+D5)*(1-E5)/(1+G5)</f>
        <v>0.51449953227315259</v>
      </c>
      <c r="L5" s="21">
        <f>(E5+F5)/(1+G5)</f>
        <v>0</v>
      </c>
      <c r="M5" s="21">
        <f>G5/(1+G5)</f>
        <v>6.4546304957904588E-2</v>
      </c>
      <c r="N5" s="21">
        <f>H5*(1-((B5+C5+D5)*(1-E5)+E5+F5))/(1+G5)</f>
        <v>6.8274056410903464E-2</v>
      </c>
      <c r="O5" s="25">
        <v>1</v>
      </c>
      <c r="P5" s="25">
        <v>1</v>
      </c>
      <c r="Q5" s="25">
        <v>1</v>
      </c>
      <c r="R5" s="7">
        <v>0.63281082983236647</v>
      </c>
      <c r="S5" s="11">
        <f>(I5-R5)</f>
        <v>1.4509063809594047E-2</v>
      </c>
    </row>
    <row r="6" spans="1:19" ht="15.75" customHeight="1" x14ac:dyDescent="0.2">
      <c r="A6" s="6" t="s">
        <v>13</v>
      </c>
      <c r="B6" s="7">
        <v>0.5</v>
      </c>
      <c r="C6" s="7">
        <f>(B6*0.07)</f>
        <v>3.5000000000000003E-2</v>
      </c>
      <c r="D6" s="7"/>
      <c r="E6" s="7">
        <v>0.13070000000000001</v>
      </c>
      <c r="F6" s="7"/>
      <c r="G6" s="7">
        <v>0.27129999999999999</v>
      </c>
      <c r="H6" s="8">
        <v>0.14612774768331502</v>
      </c>
      <c r="I6" s="24">
        <f t="shared" si="0"/>
        <v>0.72850146758704792</v>
      </c>
      <c r="J6" s="25">
        <f t="shared" si="1"/>
        <v>3</v>
      </c>
      <c r="K6" s="21">
        <f>(B6+C6+D6)*(1-E6)/(1+G6)</f>
        <v>0.36582671281365531</v>
      </c>
      <c r="L6" s="21">
        <f>(E6+F6)/(1+G6)</f>
        <v>0.10280814913867695</v>
      </c>
      <c r="M6" s="21">
        <f>G6/(1+G6)</f>
        <v>0.21340360261150002</v>
      </c>
      <c r="N6" s="21">
        <f>H6*(1-((B6+C6+D6)*(1-E6)+E6+F6))/(1+G6)</f>
        <v>4.6463003023215738E-2</v>
      </c>
      <c r="O6" s="25">
        <v>1</v>
      </c>
      <c r="P6" s="25">
        <v>1</v>
      </c>
      <c r="Q6" s="25">
        <v>1</v>
      </c>
      <c r="R6" s="7">
        <v>0.73937756378924524</v>
      </c>
      <c r="S6" s="11">
        <f>(I6-R6)</f>
        <v>-1.0876096202197316E-2</v>
      </c>
    </row>
    <row r="7" spans="1:19" ht="15.75" customHeight="1" x14ac:dyDescent="0.2">
      <c r="A7" s="6" t="s">
        <v>14</v>
      </c>
      <c r="B7" s="7">
        <v>0.1</v>
      </c>
      <c r="C7" s="7"/>
      <c r="D7" s="7"/>
      <c r="E7" s="7"/>
      <c r="F7" s="7"/>
      <c r="G7" s="7"/>
      <c r="H7" s="8">
        <v>0.20926573569455004</v>
      </c>
      <c r="I7" s="24">
        <f t="shared" si="0"/>
        <v>0.28833916212509503</v>
      </c>
      <c r="J7" s="25">
        <f t="shared" si="1"/>
        <v>41</v>
      </c>
      <c r="K7" s="21">
        <f>(B7+C7+D7)*(1-E7)/(1+G7)</f>
        <v>0.1</v>
      </c>
      <c r="L7" s="21">
        <f>(E7+F7)/(1+G7)</f>
        <v>0</v>
      </c>
      <c r="M7" s="21">
        <f>G7/(1+G7)</f>
        <v>0</v>
      </c>
      <c r="N7" s="21">
        <f>H7*(1-((B7+C7+D7)*(1-E7)+E7+F7))/(1+G7)</f>
        <v>0.18833916212509505</v>
      </c>
      <c r="O7" s="25">
        <v>1</v>
      </c>
      <c r="P7" s="25">
        <v>1</v>
      </c>
      <c r="Q7" s="25"/>
      <c r="R7" s="9"/>
      <c r="S7" s="11"/>
    </row>
    <row r="8" spans="1:19" ht="15.75" customHeight="1" x14ac:dyDescent="0.2">
      <c r="A8" s="6" t="s">
        <v>15</v>
      </c>
      <c r="B8" s="7">
        <v>0.33</v>
      </c>
      <c r="C8" s="5">
        <f>AVERAGE(15%,16.8%,17.4%,20.3%,18.3%,14.1%,21%,11.5%,20.53%,16.7%,25.8%,14.5%,15%)</f>
        <v>0.17456153846153846</v>
      </c>
      <c r="D8" s="5"/>
      <c r="E8" s="7"/>
      <c r="F8" s="7"/>
      <c r="G8" s="7"/>
      <c r="H8" s="8">
        <v>8.9208281329369074E-2</v>
      </c>
      <c r="I8" s="24">
        <f t="shared" si="0"/>
        <v>0.54875875211985137</v>
      </c>
      <c r="J8" s="25">
        <f t="shared" si="1"/>
        <v>20</v>
      </c>
      <c r="K8" s="21">
        <f>(B8+C8+D8)*(1-E8)/(1+G8)</f>
        <v>0.50456153846153851</v>
      </c>
      <c r="L8" s="21">
        <f>(E8+F8)/(1+G8)</f>
        <v>0</v>
      </c>
      <c r="M8" s="21">
        <f>G8/(1+G8)</f>
        <v>0</v>
      </c>
      <c r="N8" s="21">
        <f>H8*(1-((B8+C8+D8)*(1-E8)+E8+F8))/(1+G8)</f>
        <v>4.4197213658312876E-2</v>
      </c>
      <c r="O8" s="25"/>
      <c r="P8" s="25"/>
      <c r="Q8" s="25">
        <v>1</v>
      </c>
      <c r="R8" s="7">
        <v>0.57601588006375581</v>
      </c>
      <c r="S8" s="11">
        <f>(I8-R8)</f>
        <v>-2.7257127943904447E-2</v>
      </c>
    </row>
    <row r="9" spans="1:19" ht="15.75" customHeight="1" x14ac:dyDescent="0.2">
      <c r="A9" s="6" t="s">
        <v>16</v>
      </c>
      <c r="B9" s="7">
        <v>0.35499999999999998</v>
      </c>
      <c r="C9" s="7"/>
      <c r="D9" s="7"/>
      <c r="E9" s="7"/>
      <c r="F9" s="7"/>
      <c r="G9" s="7">
        <v>2.0000000000000001E-4</v>
      </c>
      <c r="H9" s="8">
        <v>0.14532712500469924</v>
      </c>
      <c r="I9" s="24">
        <f t="shared" si="0"/>
        <v>0.44884622638275445</v>
      </c>
      <c r="J9" s="25">
        <f t="shared" si="1"/>
        <v>36</v>
      </c>
      <c r="K9" s="21">
        <f>(B9+C9+D9)*(1-E9)/(1+G9)</f>
        <v>0.35492901419716055</v>
      </c>
      <c r="L9" s="21">
        <f>(E9+F9)/(1+G9)</f>
        <v>0</v>
      </c>
      <c r="M9" s="21">
        <f>G9/(1+G9)</f>
        <v>1.9996000799840034E-4</v>
      </c>
      <c r="N9" s="21">
        <f>H9*(1-((B9+C9+D9)*(1-E9)+E9+F9))/(1+G9)</f>
        <v>9.3717252177595495E-2</v>
      </c>
      <c r="O9" s="25"/>
      <c r="P9" s="25"/>
      <c r="Q9" s="25">
        <v>1</v>
      </c>
      <c r="R9" s="9"/>
      <c r="S9" s="11"/>
    </row>
    <row r="10" spans="1:19" ht="15.75" customHeight="1" x14ac:dyDescent="0.2">
      <c r="A10" s="6" t="s">
        <v>17</v>
      </c>
      <c r="B10" s="7">
        <v>0.36</v>
      </c>
      <c r="C10" s="7"/>
      <c r="D10" s="7">
        <f>18%*B10</f>
        <v>6.4799999999999996E-2</v>
      </c>
      <c r="E10" s="7"/>
      <c r="F10" s="7"/>
      <c r="G10" s="7">
        <v>0.16500000000000001</v>
      </c>
      <c r="H10" s="8">
        <v>0.27031794498637818</v>
      </c>
      <c r="I10" s="24">
        <f t="shared" si="0"/>
        <v>0.63973122914692249</v>
      </c>
      <c r="J10" s="25">
        <f t="shared" si="1"/>
        <v>10</v>
      </c>
      <c r="K10" s="21">
        <f>(B10+C10+D10)*(1-E10)/(1+G10)</f>
        <v>0.36463519313304715</v>
      </c>
      <c r="L10" s="21">
        <f>(E10+F10)/(1+G10)</f>
        <v>0</v>
      </c>
      <c r="M10" s="21">
        <f>G10/(1+G10)</f>
        <v>0.14163090128755365</v>
      </c>
      <c r="N10" s="21">
        <f>H10*(1-((B10+C10+D10)*(1-E10)+E10+F10))/(1+G10)</f>
        <v>0.13346513472632168</v>
      </c>
      <c r="O10" s="25">
        <v>1</v>
      </c>
      <c r="P10" s="25">
        <v>1</v>
      </c>
      <c r="Q10" s="25"/>
      <c r="R10" s="9"/>
      <c r="S10" s="11"/>
    </row>
    <row r="11" spans="1:19" ht="15.75" customHeight="1" x14ac:dyDescent="0.2">
      <c r="A11" s="6" t="s">
        <v>18</v>
      </c>
      <c r="B11" s="7">
        <v>0.35</v>
      </c>
      <c r="C11" s="7"/>
      <c r="D11" s="7"/>
      <c r="E11" s="7"/>
      <c r="F11" s="7"/>
      <c r="G11" s="7"/>
      <c r="H11" s="8">
        <v>0.17853326927351867</v>
      </c>
      <c r="I11" s="24">
        <f t="shared" si="0"/>
        <v>0.46604662502778715</v>
      </c>
      <c r="J11" s="25">
        <f t="shared" si="1"/>
        <v>33</v>
      </c>
      <c r="K11" s="21">
        <f>(B11+C11+D11)*(1-E11)/(1+G11)</f>
        <v>0.35</v>
      </c>
      <c r="L11" s="21">
        <f>(E11+F11)/(1+G11)</f>
        <v>0</v>
      </c>
      <c r="M11" s="21">
        <f>G11/(1+G11)</f>
        <v>0</v>
      </c>
      <c r="N11" s="21">
        <f>H11*(1-((B11+C11+D11)*(1-E11)+E11+F11))/(1+G11)</f>
        <v>0.11604662502778715</v>
      </c>
      <c r="O11" s="25">
        <v>1</v>
      </c>
      <c r="P11" s="25">
        <v>1</v>
      </c>
      <c r="Q11" s="25"/>
      <c r="R11" s="9"/>
      <c r="S11" s="11"/>
    </row>
    <row r="12" spans="1:19" ht="15.75" customHeight="1" x14ac:dyDescent="0.2">
      <c r="A12" s="4" t="s">
        <v>19</v>
      </c>
      <c r="B12" s="7">
        <v>0.15</v>
      </c>
      <c r="C12" s="7"/>
      <c r="D12" s="7">
        <v>7.0000000000000007E-2</v>
      </c>
      <c r="E12" s="7"/>
      <c r="F12" s="7">
        <f>4.5%+9%</f>
        <v>0.13500000000000001</v>
      </c>
      <c r="G12" s="7"/>
      <c r="H12" s="8">
        <v>0.19023188420790188</v>
      </c>
      <c r="I12" s="24">
        <f t="shared" si="0"/>
        <v>0.47769956531409669</v>
      </c>
      <c r="J12" s="25">
        <f t="shared" si="1"/>
        <v>31</v>
      </c>
      <c r="K12" s="21">
        <f>(B12+C12+D12)*(1-E12)/(1+G12)</f>
        <v>0.22</v>
      </c>
      <c r="L12" s="21">
        <f>(E12+F12)/(1+G12)</f>
        <v>0.13500000000000001</v>
      </c>
      <c r="M12" s="21">
        <f>G12/(1+G12)</f>
        <v>0</v>
      </c>
      <c r="N12" s="21">
        <f>H12*(1-((B12+C12+D12)*(1-E12)+E12+F12))/(1+G12)</f>
        <v>0.12269956531409672</v>
      </c>
      <c r="O12" s="25">
        <v>1</v>
      </c>
      <c r="P12" s="25">
        <v>1</v>
      </c>
      <c r="Q12" s="25">
        <v>1</v>
      </c>
      <c r="R12" s="7">
        <v>0.46146147455932279</v>
      </c>
      <c r="S12" s="11">
        <f>(I12-R12)</f>
        <v>1.6238090754773893E-2</v>
      </c>
    </row>
    <row r="13" spans="1:19" ht="15.75" customHeight="1" x14ac:dyDescent="0.2">
      <c r="A13" s="6" t="s">
        <v>21</v>
      </c>
      <c r="B13" s="7">
        <v>0.52049999999999996</v>
      </c>
      <c r="C13" s="26"/>
      <c r="D13" s="7"/>
      <c r="E13" s="7">
        <v>0.08</v>
      </c>
      <c r="F13" s="7"/>
      <c r="G13" s="7"/>
      <c r="H13" s="8">
        <v>0.23358145210594203</v>
      </c>
      <c r="I13" s="24">
        <f t="shared" si="0"/>
        <v>0.66190212178201524</v>
      </c>
      <c r="J13" s="25">
        <f t="shared" si="1"/>
        <v>7</v>
      </c>
      <c r="K13" s="21">
        <f>(B13+C13+D13)*(1-E13)/(1+G13)</f>
        <v>0.47886000000000001</v>
      </c>
      <c r="L13" s="21">
        <f>(E13+F13)/(1+G13)</f>
        <v>0.08</v>
      </c>
      <c r="M13" s="21">
        <f>G13/(1+G13)</f>
        <v>0</v>
      </c>
      <c r="N13" s="21">
        <f>H13*(1-((B13+C13+D13)*(1-E13)+E13+F13))/(1+G13)</f>
        <v>0.10304212178201526</v>
      </c>
      <c r="O13" s="25">
        <v>1</v>
      </c>
      <c r="P13" s="25">
        <v>1</v>
      </c>
      <c r="Q13" s="25">
        <v>1</v>
      </c>
      <c r="R13" s="7">
        <v>0.66229553032864064</v>
      </c>
      <c r="S13" s="11">
        <f>(I13-R13)</f>
        <v>-3.9340854662539559E-4</v>
      </c>
    </row>
    <row r="14" spans="1:19" ht="15.75" customHeight="1" x14ac:dyDescent="0.2">
      <c r="A14" s="6" t="s">
        <v>22</v>
      </c>
      <c r="B14" s="7">
        <v>0.2</v>
      </c>
      <c r="C14" s="7"/>
      <c r="D14" s="7"/>
      <c r="E14" s="7">
        <v>1.6E-2</v>
      </c>
      <c r="F14" s="7"/>
      <c r="G14" s="7">
        <f>(0.33+0.008)</f>
        <v>0.33800000000000002</v>
      </c>
      <c r="H14" s="8">
        <v>0.22631891924824529</v>
      </c>
      <c r="I14" s="24">
        <f t="shared" si="0"/>
        <v>0.54481184845457298</v>
      </c>
      <c r="J14" s="25">
        <f t="shared" si="1"/>
        <v>22</v>
      </c>
      <c r="K14" s="21">
        <f>(B14+C14+D14)*(1-E14)/(1+G14)</f>
        <v>0.14708520179372198</v>
      </c>
      <c r="L14" s="21">
        <f>(E14+F14)/(1+G14)</f>
        <v>1.195814648729447E-2</v>
      </c>
      <c r="M14" s="21">
        <f>G14/(1+G14)</f>
        <v>0.25261584454409569</v>
      </c>
      <c r="N14" s="21">
        <f>H14*(1-((B14+C14+D14)*(1-E14)+E14+F14))/(1+G14)</f>
        <v>0.13315265562946091</v>
      </c>
      <c r="O14" s="25">
        <v>1</v>
      </c>
      <c r="P14" s="25">
        <v>1</v>
      </c>
      <c r="Q14" s="25">
        <v>1</v>
      </c>
      <c r="R14" s="9"/>
      <c r="S14" s="11"/>
    </row>
    <row r="15" spans="1:19" ht="15.75" customHeight="1" x14ac:dyDescent="0.2">
      <c r="A15" s="4" t="s">
        <v>23</v>
      </c>
      <c r="B15" s="7">
        <v>0.3125</v>
      </c>
      <c r="C15" s="7">
        <v>0.1988</v>
      </c>
      <c r="D15" s="7"/>
      <c r="E15" s="7">
        <f>(6.75%+1.5%+1.54%)</f>
        <v>9.7900000000000001E-2</v>
      </c>
      <c r="F15" s="7"/>
      <c r="G15" s="7">
        <f>17.35%+0.77%+2.05%+0.8%+0.07%</f>
        <v>0.21040000000000003</v>
      </c>
      <c r="H15" s="8">
        <v>0.19651875527513732</v>
      </c>
      <c r="I15" s="24">
        <f t="shared" si="0"/>
        <v>0.70735315221054196</v>
      </c>
      <c r="J15" s="25">
        <f t="shared" si="1"/>
        <v>5</v>
      </c>
      <c r="K15" s="21">
        <f>(B15+C15+D15)*(1-E15)/(1+G15)</f>
        <v>0.3810671926635823</v>
      </c>
      <c r="L15" s="21">
        <f>(E15+F15)/(1+G15)</f>
        <v>8.0882352941176475E-2</v>
      </c>
      <c r="M15" s="21">
        <f>G15/(1+G15)</f>
        <v>0.17382683410442831</v>
      </c>
      <c r="N15" s="21">
        <f>H15*(1-((B15+C15+D15)*(1-E15)+E15+F15))/(1+G15)</f>
        <v>7.1576772501354829E-2</v>
      </c>
      <c r="O15" s="25">
        <v>1</v>
      </c>
      <c r="P15" s="25">
        <v>1</v>
      </c>
      <c r="Q15" s="25">
        <v>1</v>
      </c>
      <c r="R15" s="7">
        <v>0.71903128135578431</v>
      </c>
      <c r="S15" s="11">
        <f>(I15-R15)</f>
        <v>-1.1678129145242355E-2</v>
      </c>
    </row>
    <row r="16" spans="1:19" ht="15.75" customHeight="1" x14ac:dyDescent="0.2">
      <c r="A16" s="37" t="s">
        <v>24</v>
      </c>
      <c r="B16" s="7">
        <v>0.45</v>
      </c>
      <c r="C16" s="7"/>
      <c r="D16" s="7">
        <v>0.04</v>
      </c>
      <c r="E16" s="7">
        <f>(0.068)+ 0.004</f>
        <v>7.2000000000000008E-2</v>
      </c>
      <c r="F16" s="5">
        <f>((0.024)+(0.005))</f>
        <v>2.9000000000000001E-2</v>
      </c>
      <c r="G16" s="7">
        <f>(0.019+0.13+0.003+0.0222+0.0525)</f>
        <v>0.22669999999999998</v>
      </c>
      <c r="H16" s="8">
        <v>0.15195446589398293</v>
      </c>
      <c r="I16" s="24">
        <f t="shared" si="0"/>
        <v>0.69285915880604776</v>
      </c>
      <c r="J16" s="25">
        <f t="shared" si="1"/>
        <v>6</v>
      </c>
      <c r="K16" s="21">
        <f>(B16+C16+D16)*(1-E16)/(1+G16)</f>
        <v>0.37068557919621747</v>
      </c>
      <c r="L16" s="21">
        <f>(E16+F16)/(1+G16)</f>
        <v>8.2334719165240086E-2</v>
      </c>
      <c r="M16" s="21">
        <f>G16/(1+G16)</f>
        <v>0.18480476074019728</v>
      </c>
      <c r="N16" s="21">
        <f>H16*(1-((B16+C16+D16)*(1-E16)+E16+F16))/(1+G16)</f>
        <v>5.503409970439288E-2</v>
      </c>
      <c r="O16" s="25">
        <v>1</v>
      </c>
      <c r="P16" s="25">
        <v>1</v>
      </c>
      <c r="Q16" s="25">
        <v>1</v>
      </c>
      <c r="R16" s="7">
        <v>0.68564724268637767</v>
      </c>
      <c r="S16" s="11">
        <f>(I16-R16)</f>
        <v>7.2119161196700921E-3</v>
      </c>
    </row>
    <row r="17" spans="1:19" ht="15.75" customHeight="1" x14ac:dyDescent="0.2">
      <c r="A17" s="6" t="s">
        <v>25</v>
      </c>
      <c r="B17" s="7">
        <v>0.45</v>
      </c>
      <c r="C17" s="7"/>
      <c r="D17" s="7">
        <f>(45%*5.5%)</f>
        <v>2.4750000000000001E-2</v>
      </c>
      <c r="E17" s="7"/>
      <c r="F17" s="7"/>
      <c r="G17" s="7"/>
      <c r="H17" s="8">
        <v>0.13812007752160582</v>
      </c>
      <c r="I17" s="24">
        <f t="shared" si="0"/>
        <v>0.54729757071822349</v>
      </c>
      <c r="J17" s="25">
        <f t="shared" si="1"/>
        <v>21</v>
      </c>
      <c r="K17" s="21">
        <f>(B17+C17+D17)*(1-E17)/(1+G17)</f>
        <v>0.47475000000000001</v>
      </c>
      <c r="L17" s="21">
        <f>(E17+F17)/(1+G17)</f>
        <v>0</v>
      </c>
      <c r="M17" s="21">
        <f>G17/(1+G17)</f>
        <v>0</v>
      </c>
      <c r="N17" s="21">
        <f>H17*(1-((B17+C17+D17)*(1-E17)+E17+F17))/(1+G17)</f>
        <v>7.2547570718223459E-2</v>
      </c>
      <c r="O17" s="25">
        <v>1</v>
      </c>
      <c r="P17" s="25">
        <v>1</v>
      </c>
      <c r="Q17" s="25">
        <v>1</v>
      </c>
      <c r="R17" s="7">
        <v>0.54729800136627726</v>
      </c>
      <c r="S17" s="11">
        <f>(I17-R17)</f>
        <v>-4.3064805377301951E-7</v>
      </c>
    </row>
    <row r="18" spans="1:19" ht="15.75" customHeight="1" x14ac:dyDescent="0.2">
      <c r="A18" s="6" t="s">
        <v>26</v>
      </c>
      <c r="B18" s="7">
        <v>0.45</v>
      </c>
      <c r="C18" s="7"/>
      <c r="D18" s="7">
        <v>0.1</v>
      </c>
      <c r="E18" s="7"/>
      <c r="F18" s="7"/>
      <c r="G18" s="7"/>
      <c r="H18" s="8">
        <v>0.15965022907966855</v>
      </c>
      <c r="I18" s="24">
        <f t="shared" si="0"/>
        <v>0.62184260308585093</v>
      </c>
      <c r="J18" s="25">
        <f t="shared" si="1"/>
        <v>12</v>
      </c>
      <c r="K18" s="21">
        <f>(B18+C18+D18)*(1-E18)/(1+G18)</f>
        <v>0.55000000000000004</v>
      </c>
      <c r="L18" s="21">
        <f>(E18+F18)/(1+G18)</f>
        <v>0</v>
      </c>
      <c r="M18" s="21">
        <f>G18/(1+G18)</f>
        <v>0</v>
      </c>
      <c r="N18" s="21">
        <f>H18*(1-((B18+C18+D18)*(1-E18)+E18+F18))/(1+G18)</f>
        <v>7.1842603085850845E-2</v>
      </c>
      <c r="O18" s="25">
        <v>1</v>
      </c>
      <c r="P18" s="25">
        <v>1</v>
      </c>
      <c r="Q18" s="25">
        <v>1</v>
      </c>
      <c r="R18" s="7">
        <v>0.52735456960901483</v>
      </c>
      <c r="S18" s="11">
        <f>(I18-R18)</f>
        <v>9.4488033476836097E-2</v>
      </c>
    </row>
    <row r="19" spans="1:19" ht="15.75" customHeight="1" x14ac:dyDescent="0.2">
      <c r="A19" s="6" t="s">
        <v>27</v>
      </c>
      <c r="B19" s="7">
        <v>0.15</v>
      </c>
      <c r="C19" s="7"/>
      <c r="D19" s="7"/>
      <c r="E19" s="7"/>
      <c r="F19" s="7">
        <f>(0.07+0.1+0.015)</f>
        <v>0.185</v>
      </c>
      <c r="G19" s="7">
        <v>0.17499999999999999</v>
      </c>
      <c r="H19" s="8">
        <v>0.24348113035250826</v>
      </c>
      <c r="I19" s="24">
        <f t="shared" si="0"/>
        <v>0.57184251207184511</v>
      </c>
      <c r="J19" s="25">
        <f t="shared" si="1"/>
        <v>19</v>
      </c>
      <c r="K19" s="21">
        <f>(B19+C19+D19)*(1-E19)/(1+G19)</f>
        <v>0.1276595744680851</v>
      </c>
      <c r="L19" s="21">
        <f>(E19+F19)/(1+G19)</f>
        <v>0.1574468085106383</v>
      </c>
      <c r="M19" s="21">
        <f>G19/(1+G19)</f>
        <v>0.14893617021276595</v>
      </c>
      <c r="N19" s="21">
        <f>H19*(1-((B19+C19+D19)*(1-E19)+E19+F19))/(1+G19)</f>
        <v>0.13779995888035573</v>
      </c>
      <c r="O19" s="25">
        <v>1</v>
      </c>
      <c r="P19" s="25">
        <v>1</v>
      </c>
      <c r="Q19" s="25">
        <v>1</v>
      </c>
      <c r="R19" s="7">
        <v>0.60479796703815802</v>
      </c>
      <c r="S19" s="11">
        <f>(I19-R19)</f>
        <v>-3.2955454966312914E-2</v>
      </c>
    </row>
    <row r="20" spans="1:19" ht="15.75" customHeight="1" x14ac:dyDescent="0.2">
      <c r="A20" s="6" t="s">
        <v>28</v>
      </c>
      <c r="B20" s="7">
        <v>0.318</v>
      </c>
      <c r="C20" s="7">
        <v>0.1444</v>
      </c>
      <c r="D20" s="7"/>
      <c r="E20" s="26"/>
      <c r="F20" s="7"/>
      <c r="G20" s="7">
        <f>(6.75%+0.05%+0.05%)</f>
        <v>6.8500000000000005E-2</v>
      </c>
      <c r="H20" s="8">
        <v>0.18598895081312106</v>
      </c>
      <c r="I20" s="24">
        <f t="shared" si="0"/>
        <v>0.59044235840630221</v>
      </c>
      <c r="J20" s="25">
        <f t="shared" si="1"/>
        <v>17</v>
      </c>
      <c r="K20" s="21">
        <f>(B20+C20+D20)*(1-E20)/(1+G20)</f>
        <v>0.43275620028076744</v>
      </c>
      <c r="L20" s="21">
        <f>(E20+F20)/(1+G20)</f>
        <v>0</v>
      </c>
      <c r="M20" s="21">
        <f>G20/(1+G20)</f>
        <v>6.4108563406644836E-2</v>
      </c>
      <c r="N20" s="21">
        <f>H20*(1-((B20+C20+D20)*(1-E20)+E20+F20))/(1+G20)</f>
        <v>9.357759471888992E-2</v>
      </c>
      <c r="O20" s="25"/>
      <c r="P20" s="25">
        <v>1</v>
      </c>
      <c r="Q20" s="25">
        <v>1</v>
      </c>
      <c r="R20" s="9"/>
      <c r="S20" s="11"/>
    </row>
    <row r="21" spans="1:19" ht="15.75" customHeight="1" x14ac:dyDescent="0.2">
      <c r="A21" s="6" t="s">
        <v>29</v>
      </c>
      <c r="B21" s="7">
        <v>0.4</v>
      </c>
      <c r="C21" s="7"/>
      <c r="D21" s="7">
        <v>0.08</v>
      </c>
      <c r="E21" s="7"/>
      <c r="F21" s="7">
        <v>0.04</v>
      </c>
      <c r="G21" s="7">
        <v>0.1095</v>
      </c>
      <c r="H21" s="8">
        <v>0.17592690328173996</v>
      </c>
      <c r="I21" s="24">
        <f t="shared" si="0"/>
        <v>0.64348347325392996</v>
      </c>
      <c r="J21" s="25">
        <f t="shared" si="1"/>
        <v>9</v>
      </c>
      <c r="K21" s="21">
        <f>(B21+C21+D21)*(1-E21)/(1+G21)</f>
        <v>0.43262730959891849</v>
      </c>
      <c r="L21" s="21">
        <f>(E21+F21)/(1+G21)</f>
        <v>3.6052275799909869E-2</v>
      </c>
      <c r="M21" s="21">
        <f>G21/(1+G21)</f>
        <v>9.869310500225327E-2</v>
      </c>
      <c r="N21" s="21">
        <f>H21*(1-((B21+C21+D21)*(1-E21)+E21+F21))/(1+G21)</f>
        <v>7.6110782852848294E-2</v>
      </c>
      <c r="O21" s="25">
        <v>1</v>
      </c>
      <c r="P21" s="25">
        <v>1</v>
      </c>
      <c r="Q21" s="25">
        <v>1</v>
      </c>
      <c r="R21" s="7">
        <v>0.64204423001125488</v>
      </c>
      <c r="S21" s="11">
        <f>(I21-R21)</f>
        <v>1.4392432426750812E-3</v>
      </c>
    </row>
    <row r="22" spans="1:19" ht="15.75" customHeight="1" x14ac:dyDescent="0.2">
      <c r="A22" s="6" t="s">
        <v>30</v>
      </c>
      <c r="B22" s="7">
        <v>0.47</v>
      </c>
      <c r="C22" s="7"/>
      <c r="D22" s="7">
        <v>0.03</v>
      </c>
      <c r="E22" s="7"/>
      <c r="F22" s="7"/>
      <c r="G22" s="7"/>
      <c r="H22" s="19">
        <v>0.15265411293080539</v>
      </c>
      <c r="I22" s="24">
        <f t="shared" si="0"/>
        <v>0.57632705646540272</v>
      </c>
      <c r="J22" s="25">
        <f t="shared" si="1"/>
        <v>18</v>
      </c>
      <c r="K22" s="21">
        <f>(B22+C22+D22)*(1-E22)/(1+G22)</f>
        <v>0.5</v>
      </c>
      <c r="L22" s="21">
        <f>(E22+F22)/(1+G22)</f>
        <v>0</v>
      </c>
      <c r="M22" s="21">
        <f>G22/(1+G22)</f>
        <v>0</v>
      </c>
      <c r="N22" s="21">
        <f>H22*(1-((B22+C22+D22)*(1-E22)+E22+F22))/(1+G22)</f>
        <v>7.6327056465402693E-2</v>
      </c>
      <c r="O22" s="25"/>
      <c r="P22" s="25"/>
      <c r="Q22" s="25">
        <v>1</v>
      </c>
      <c r="R22" s="7">
        <v>0.59899999999999998</v>
      </c>
      <c r="S22" s="11">
        <f>(I22-R22)</f>
        <v>-2.2672943534597256E-2</v>
      </c>
    </row>
    <row r="23" spans="1:19" ht="15.75" customHeight="1" x14ac:dyDescent="0.2">
      <c r="A23" s="4" t="s">
        <v>31</v>
      </c>
      <c r="B23" s="7">
        <v>0.43</v>
      </c>
      <c r="C23" s="7">
        <f>(3.33%+0.9%)</f>
        <v>4.2300000000000004E-2</v>
      </c>
      <c r="D23" s="7"/>
      <c r="E23" s="7"/>
      <c r="F23" s="7"/>
      <c r="G23" s="7"/>
      <c r="H23" s="8">
        <v>0.12864966605446773</v>
      </c>
      <c r="I23" s="24">
        <f t="shared" si="0"/>
        <v>0.54018842877694262</v>
      </c>
      <c r="J23" s="25">
        <f t="shared" si="1"/>
        <v>24</v>
      </c>
      <c r="K23" s="21">
        <f>(B23+C23+D23)*(1-E23)/(1+G23)</f>
        <v>0.4723</v>
      </c>
      <c r="L23" s="21">
        <f>(E23+F23)/(1+G23)</f>
        <v>0</v>
      </c>
      <c r="M23" s="21">
        <f>G23/(1+G23)</f>
        <v>0</v>
      </c>
      <c r="N23" s="21">
        <f>H23*(1-((B23+C23+D23)*(1-E23)+E23+F23))/(1+G23)</f>
        <v>6.7888428776942636E-2</v>
      </c>
      <c r="O23" s="25">
        <v>1</v>
      </c>
      <c r="P23" s="25">
        <v>1</v>
      </c>
      <c r="Q23" s="25">
        <v>1</v>
      </c>
      <c r="R23" s="7">
        <v>0.55417358475978129</v>
      </c>
      <c r="S23" s="11">
        <f>(I23-R23)</f>
        <v>-1.3985155982838671E-2</v>
      </c>
    </row>
    <row r="24" spans="1:19" ht="15.75" customHeight="1" x14ac:dyDescent="0.2">
      <c r="A24" s="6" t="s">
        <v>32</v>
      </c>
      <c r="B24" s="7">
        <v>0.45</v>
      </c>
      <c r="C24" s="7">
        <v>0.1</v>
      </c>
      <c r="D24" s="7">
        <f>(2.1%*B24)</f>
        <v>9.4500000000000001E-3</v>
      </c>
      <c r="E24" s="7">
        <v>3.0000000000000001E-3</v>
      </c>
      <c r="F24" s="7"/>
      <c r="G24" s="7">
        <f>(0.6%+0.29%+0.3%)</f>
        <v>1.1900000000000001E-2</v>
      </c>
      <c r="H24" s="8">
        <v>7.8883721125957471E-2</v>
      </c>
      <c r="I24" s="24">
        <f t="shared" si="0"/>
        <v>0.60017750437001127</v>
      </c>
      <c r="J24" s="25">
        <f t="shared" si="1"/>
        <v>13</v>
      </c>
      <c r="K24" s="21">
        <f>(B24+C24+D24)*(1-E24)/(1+G24)</f>
        <v>0.55121222452811536</v>
      </c>
      <c r="L24" s="21">
        <f>(E24+F24)/(1+G24)</f>
        <v>2.9647198339756895E-3</v>
      </c>
      <c r="M24" s="21">
        <f>G24/(1+G24)</f>
        <v>1.1760055341436901E-2</v>
      </c>
      <c r="N24" s="21">
        <f>H24*(1-((B24+C24+D24)*(1-E24)+E24+F24))/(1+G24)</f>
        <v>3.4240504666483297E-2</v>
      </c>
      <c r="O24" s="25"/>
      <c r="P24" s="25"/>
      <c r="Q24" s="25">
        <v>1</v>
      </c>
      <c r="R24" s="7">
        <v>0.59832285248219075</v>
      </c>
      <c r="S24" s="11">
        <f>(I24-R24)</f>
        <v>1.8546518878205243E-3</v>
      </c>
    </row>
    <row r="25" spans="1:19" ht="15.75" customHeight="1" x14ac:dyDescent="0.2">
      <c r="A25" s="6" t="s">
        <v>33</v>
      </c>
      <c r="B25" s="7">
        <v>0.23</v>
      </c>
      <c r="C25" s="7"/>
      <c r="D25" s="7">
        <f>(0.11*(1-B25))</f>
        <v>8.4699999999999998E-2</v>
      </c>
      <c r="E25" s="7"/>
      <c r="F25" s="7"/>
      <c r="G25" s="7">
        <v>0.14499999999999999</v>
      </c>
      <c r="H25" s="8">
        <v>0.17049693136171296</v>
      </c>
      <c r="I25" s="24">
        <f t="shared" si="0"/>
        <v>0.50352973542548629</v>
      </c>
      <c r="J25" s="25">
        <f t="shared" si="1"/>
        <v>28</v>
      </c>
      <c r="K25" s="21">
        <f>(B25+C25+D25)*(1-E25)/(1+G25)</f>
        <v>0.27484716157205236</v>
      </c>
      <c r="L25" s="21">
        <f>(E25+F25)/(1+G25)</f>
        <v>0</v>
      </c>
      <c r="M25" s="21">
        <f>G25/(1+G25)</f>
        <v>0.12663755458515283</v>
      </c>
      <c r="N25" s="21">
        <f>H25*(1-((B25+C25+D25)*(1-E25)+E25+F25))/(1+G25)</f>
        <v>0.10204501926828112</v>
      </c>
      <c r="O25" s="25">
        <v>1</v>
      </c>
      <c r="P25" s="25">
        <v>1</v>
      </c>
      <c r="Q25" s="25">
        <v>1</v>
      </c>
      <c r="R25" s="9"/>
      <c r="S25" s="11"/>
    </row>
    <row r="26" spans="1:19" ht="15.75" customHeight="1" x14ac:dyDescent="0.2">
      <c r="A26" s="6" t="s">
        <v>34</v>
      </c>
      <c r="B26" s="7">
        <v>0.27</v>
      </c>
      <c r="C26" s="7"/>
      <c r="D26" s="7"/>
      <c r="E26" s="7"/>
      <c r="F26" s="7">
        <f>(6.98%)</f>
        <v>6.9800000000000001E-2</v>
      </c>
      <c r="G26" s="7"/>
      <c r="H26" s="8">
        <v>0.15861291013246551</v>
      </c>
      <c r="I26" s="24">
        <f t="shared" si="0"/>
        <v>0.44451624326945371</v>
      </c>
      <c r="J26" s="25">
        <f t="shared" si="1"/>
        <v>38</v>
      </c>
      <c r="K26" s="21">
        <f>(B26+C26+D26)*(1-E26)/(1+G26)</f>
        <v>0.27</v>
      </c>
      <c r="L26" s="21">
        <f>(E26+F26)/(1+G26)</f>
        <v>6.9800000000000001E-2</v>
      </c>
      <c r="M26" s="21">
        <f>G26/(1+G26)</f>
        <v>0</v>
      </c>
      <c r="N26" s="21">
        <f>H26*(1-((B26+C26+D26)*(1-E26)+E26+F26))/(1+G26)</f>
        <v>0.10471624326945372</v>
      </c>
      <c r="O26" s="25">
        <v>1</v>
      </c>
      <c r="P26" s="25">
        <v>1</v>
      </c>
      <c r="Q26" s="25">
        <v>1</v>
      </c>
      <c r="R26" s="7">
        <v>0.50592962893166471</v>
      </c>
      <c r="S26" s="11">
        <f>(I26-R26)</f>
        <v>-6.1413385662210995E-2</v>
      </c>
    </row>
    <row r="27" spans="1:19" ht="15.75" customHeight="1" x14ac:dyDescent="0.2">
      <c r="A27" s="6" t="s">
        <v>35</v>
      </c>
      <c r="B27" s="7">
        <v>0.42</v>
      </c>
      <c r="C27" s="7"/>
      <c r="D27" s="7">
        <f>(9%*B27)</f>
        <v>3.78E-2</v>
      </c>
      <c r="E27" s="7"/>
      <c r="F27" s="7">
        <v>1.4E-2</v>
      </c>
      <c r="G27" s="7"/>
      <c r="H27" s="8">
        <v>0.22724995337612428</v>
      </c>
      <c r="I27" s="24">
        <f t="shared" si="0"/>
        <v>0.59183342537326888</v>
      </c>
      <c r="J27" s="25">
        <f t="shared" si="1"/>
        <v>15</v>
      </c>
      <c r="K27" s="21">
        <f>(B27+C27+D27)*(1-E27)/(1+G27)</f>
        <v>0.45779999999999998</v>
      </c>
      <c r="L27" s="21">
        <f>(E27+F27)/(1+G27)</f>
        <v>1.4E-2</v>
      </c>
      <c r="M27" s="21">
        <f>G27/(1+G27)</f>
        <v>0</v>
      </c>
      <c r="N27" s="21">
        <f>H27*(1-((B27+C27+D27)*(1-E27)+E27+F27))/(1+G27)</f>
        <v>0.12003342537326885</v>
      </c>
      <c r="O27" s="25">
        <v>1</v>
      </c>
      <c r="P27" s="25">
        <v>1</v>
      </c>
      <c r="Q27" s="25">
        <v>1</v>
      </c>
      <c r="R27" s="7">
        <v>0.58608383197763059</v>
      </c>
      <c r="S27" s="11">
        <f>(I27-R27)</f>
        <v>5.7495933956382972E-3</v>
      </c>
    </row>
    <row r="28" spans="1:19" ht="15.75" customHeight="1" x14ac:dyDescent="0.2">
      <c r="A28" s="6" t="s">
        <v>36</v>
      </c>
      <c r="B28" s="7">
        <v>0.35</v>
      </c>
      <c r="C28" s="7"/>
      <c r="D28" s="7"/>
      <c r="E28" s="7"/>
      <c r="F28" s="7"/>
      <c r="G28" s="7"/>
      <c r="H28" s="8">
        <v>0.20128803452852984</v>
      </c>
      <c r="I28" s="24">
        <f t="shared" si="0"/>
        <v>0.48083722244354438</v>
      </c>
      <c r="J28" s="25">
        <f t="shared" si="1"/>
        <v>30</v>
      </c>
      <c r="K28" s="21">
        <f>(B28+C28+D28)*(1-E28)/(1+G28)</f>
        <v>0.35</v>
      </c>
      <c r="L28" s="21">
        <f>(E28+F28)/(1+G28)</f>
        <v>0</v>
      </c>
      <c r="M28" s="21">
        <f>G28/(1+G28)</f>
        <v>0</v>
      </c>
      <c r="N28" s="21">
        <f>H28*(1-((B28+C28+D28)*(1-E28)+E28+F28))/(1+G28)</f>
        <v>0.1308372224435444</v>
      </c>
      <c r="O28" s="25">
        <v>1</v>
      </c>
      <c r="P28" s="25">
        <v>1</v>
      </c>
      <c r="Q28" s="25"/>
      <c r="R28" s="9"/>
      <c r="S28" s="11"/>
    </row>
    <row r="29" spans="1:19" ht="15.75" customHeight="1" x14ac:dyDescent="0.2">
      <c r="A29" s="6" t="s">
        <v>37</v>
      </c>
      <c r="B29" s="7">
        <v>0.35</v>
      </c>
      <c r="C29" s="7"/>
      <c r="D29" s="7"/>
      <c r="E29" s="7"/>
      <c r="F29" s="7"/>
      <c r="G29" s="7">
        <v>2.4899999999999999E-2</v>
      </c>
      <c r="H29" s="8">
        <v>8.7455887611154789E-2</v>
      </c>
      <c r="I29" s="24">
        <f t="shared" si="0"/>
        <v>0.42125702697555917</v>
      </c>
      <c r="J29" s="25">
        <f t="shared" si="1"/>
        <v>40</v>
      </c>
      <c r="K29" s="21">
        <f>(B29+C29+D29)*(1-E29)/(1+G29)</f>
        <v>0.34149673138842812</v>
      </c>
      <c r="L29" s="21">
        <f>(E29+F29)/(1+G29)</f>
        <v>0</v>
      </c>
      <c r="M29" s="21">
        <f>G29/(1+G29)</f>
        <v>2.4295053175919602E-2</v>
      </c>
      <c r="N29" s="21">
        <f>H29*(1-((B29+C29+D29)*(1-E29)+E29+F29))/(1+G29)</f>
        <v>5.5465242411211452E-2</v>
      </c>
      <c r="O29" s="25"/>
      <c r="P29" s="25"/>
      <c r="Q29" s="25">
        <v>1</v>
      </c>
      <c r="R29" s="7">
        <v>0.3857300453432792</v>
      </c>
      <c r="S29" s="11">
        <f>(I29-R29)</f>
        <v>3.5526981632279964E-2</v>
      </c>
    </row>
    <row r="30" spans="1:19" ht="15.75" customHeight="1" x14ac:dyDescent="0.2">
      <c r="A30" s="6" t="s">
        <v>38</v>
      </c>
      <c r="B30" s="7">
        <v>0.51749999999999996</v>
      </c>
      <c r="C30" s="7"/>
      <c r="D30" s="7"/>
      <c r="E30" s="7"/>
      <c r="F30" s="7"/>
      <c r="G30" s="7"/>
      <c r="H30" s="8">
        <v>0.15630395104023778</v>
      </c>
      <c r="I30" s="24">
        <f t="shared" si="0"/>
        <v>0.59291665637691471</v>
      </c>
      <c r="J30" s="25">
        <f t="shared" si="1"/>
        <v>14</v>
      </c>
      <c r="K30" s="21">
        <f>(B30+C30+D30)*(1-E30)/(1+G30)</f>
        <v>0.51749999999999996</v>
      </c>
      <c r="L30" s="21">
        <f>(E30+F30)/(1+G30)</f>
        <v>0</v>
      </c>
      <c r="M30" s="21">
        <f>G30/(1+G30)</f>
        <v>0</v>
      </c>
      <c r="N30" s="21">
        <f>H30*(1-((B30+C30+D30)*(1-E30)+E30+F30))/(1+G30)</f>
        <v>7.5416656376914734E-2</v>
      </c>
      <c r="O30" s="25">
        <v>1</v>
      </c>
      <c r="P30" s="25">
        <v>1</v>
      </c>
      <c r="Q30" s="25">
        <v>1</v>
      </c>
      <c r="R30" s="7">
        <v>0.59065493074634412</v>
      </c>
      <c r="S30" s="11">
        <f>(I30-R30)</f>
        <v>2.261725630570588E-3</v>
      </c>
    </row>
    <row r="31" spans="1:19" ht="15.75" customHeight="1" x14ac:dyDescent="0.2">
      <c r="A31" s="6" t="s">
        <v>39</v>
      </c>
      <c r="B31" s="7">
        <v>0.33</v>
      </c>
      <c r="C31" s="7"/>
      <c r="D31" s="7"/>
      <c r="E31" s="7"/>
      <c r="F31" s="7"/>
      <c r="G31" s="7"/>
      <c r="H31" s="8">
        <v>0.15874931140734047</v>
      </c>
      <c r="I31" s="24">
        <f t="shared" si="0"/>
        <v>0.43636203864291812</v>
      </c>
      <c r="J31" s="25">
        <f t="shared" si="1"/>
        <v>39</v>
      </c>
      <c r="K31" s="21">
        <f>(B31+C31+D31)*(1-E31)/(1+G31)</f>
        <v>0.33</v>
      </c>
      <c r="L31" s="21">
        <f>(E31+F31)/(1+G31)</f>
        <v>0</v>
      </c>
      <c r="M31" s="21">
        <f>G31/(1+G31)</f>
        <v>0</v>
      </c>
      <c r="N31" s="21">
        <f>H31*(1-((B31+C31+D31)*(1-E31)+E31+F31))/(1+G31)</f>
        <v>0.1063620386429181</v>
      </c>
      <c r="O31" s="25"/>
      <c r="P31" s="25"/>
      <c r="Q31" s="25">
        <v>1</v>
      </c>
      <c r="R31" s="7">
        <v>0.43568020607780183</v>
      </c>
      <c r="S31" s="11">
        <f>(I31-R31)</f>
        <v>6.8183256511628043E-4</v>
      </c>
    </row>
    <row r="32" spans="1:19" ht="15.75" customHeight="1" x14ac:dyDescent="0.2">
      <c r="A32" s="6" t="s">
        <v>40</v>
      </c>
      <c r="B32" s="7">
        <f>(22%+16.2%)</f>
        <v>0.38200000000000001</v>
      </c>
      <c r="C32" s="7"/>
      <c r="D32" s="7"/>
      <c r="E32" s="7"/>
      <c r="F32" s="7">
        <v>8.2000000000000003E-2</v>
      </c>
      <c r="G32" s="7">
        <v>0.13</v>
      </c>
      <c r="H32" s="8">
        <v>0.20553404350412954</v>
      </c>
      <c r="I32" s="24">
        <f t="shared" si="0"/>
        <v>0.62315597107806509</v>
      </c>
      <c r="J32" s="25">
        <f t="shared" si="1"/>
        <v>11</v>
      </c>
      <c r="K32" s="21">
        <f>(B32+C32+D32)*(1-E32)/(1+G32)</f>
        <v>0.33805309734513278</v>
      </c>
      <c r="L32" s="21">
        <f>(E32+F32)/(1+G32)</f>
        <v>7.2566371681415942E-2</v>
      </c>
      <c r="M32" s="21">
        <f>G32/(1+G32)</f>
        <v>0.11504424778761063</v>
      </c>
      <c r="N32" s="21">
        <f>H32*(1-((B32+C32+D32)*(1-E32)+E32+F32))/(1+G32)</f>
        <v>9.7492254263905703E-2</v>
      </c>
      <c r="O32" s="25"/>
      <c r="P32" s="25">
        <v>1</v>
      </c>
      <c r="Q32" s="25">
        <v>1</v>
      </c>
      <c r="R32" s="7">
        <v>0.63288450408921904</v>
      </c>
      <c r="S32" s="11">
        <f>(I32-R32)</f>
        <v>-9.7285330111539503E-3</v>
      </c>
    </row>
    <row r="33" spans="1:19" ht="15.75" customHeight="1" x14ac:dyDescent="0.2">
      <c r="A33" s="37" t="s">
        <v>41</v>
      </c>
      <c r="B33" s="7">
        <v>0.32</v>
      </c>
      <c r="C33" s="7"/>
      <c r="D33" s="7">
        <v>0.04</v>
      </c>
      <c r="E33" s="7">
        <v>2.4500000000000001E-2</v>
      </c>
      <c r="F33" s="7">
        <v>1.2189999999999999E-2</v>
      </c>
      <c r="G33" s="7">
        <f>(0.0126+0.0245+0.001)</f>
        <v>3.8100000000000002E-2</v>
      </c>
      <c r="H33" s="8">
        <v>0.17536134548808097</v>
      </c>
      <c r="I33" s="24">
        <f t="shared" si="0"/>
        <v>0.51374043002949521</v>
      </c>
      <c r="J33" s="25">
        <f t="shared" si="1"/>
        <v>27</v>
      </c>
      <c r="K33" s="21">
        <f>(B33+C33+D33)*(1-E33)/(1+G33)</f>
        <v>0.33829110875638185</v>
      </c>
      <c r="L33" s="21">
        <f>(E33+F33)/(1+G33)</f>
        <v>3.534341585589057E-2</v>
      </c>
      <c r="M33" s="21">
        <f>G33/(1+G33)</f>
        <v>3.6701666506116948E-2</v>
      </c>
      <c r="N33" s="21">
        <f>H33*(1-((B33+C33+D33)*(1-E33)+E33+F33))/(1+G33)</f>
        <v>0.10340423891110588</v>
      </c>
      <c r="O33" s="25">
        <v>1</v>
      </c>
      <c r="P33" s="25">
        <v>1</v>
      </c>
      <c r="Q33" s="25">
        <v>1</v>
      </c>
      <c r="R33" s="7">
        <v>0.47246069751831254</v>
      </c>
      <c r="S33" s="11">
        <f>(I33-R33)</f>
        <v>4.1279732511182665E-2</v>
      </c>
    </row>
    <row r="34" spans="1:19" ht="15.75" customHeight="1" x14ac:dyDescent="0.2">
      <c r="A34" s="6" t="s">
        <v>42</v>
      </c>
      <c r="B34" s="7">
        <v>0.48</v>
      </c>
      <c r="C34" s="7"/>
      <c r="D34" s="7">
        <v>0.05</v>
      </c>
      <c r="E34" s="7">
        <v>0.11</v>
      </c>
      <c r="F34" s="7"/>
      <c r="G34" s="7">
        <v>0.23749999999999999</v>
      </c>
      <c r="H34" s="8">
        <v>0.16486837119341313</v>
      </c>
      <c r="I34" s="24">
        <f t="shared" si="0"/>
        <v>0.71770863811733709</v>
      </c>
      <c r="J34" s="25">
        <f t="shared" si="1"/>
        <v>4</v>
      </c>
      <c r="K34" s="21">
        <f>(B34+C34+D34)*(1-E34)/(1+G34)</f>
        <v>0.38117171717171716</v>
      </c>
      <c r="L34" s="21">
        <f>(E34+F34)/(1+G34)</f>
        <v>8.8888888888888892E-2</v>
      </c>
      <c r="M34" s="21">
        <f>G34/(1+G34)</f>
        <v>0.19191919191919191</v>
      </c>
      <c r="N34" s="21">
        <f>H34*(1-((B34+C34+D34)*(1-E34)+E34+F34))/(1+G34)</f>
        <v>5.5728840137539162E-2</v>
      </c>
      <c r="O34" s="25">
        <v>1</v>
      </c>
      <c r="P34" s="25">
        <v>1</v>
      </c>
      <c r="Q34" s="25">
        <v>1</v>
      </c>
      <c r="R34" s="7">
        <v>0.73561692109632015</v>
      </c>
      <c r="S34" s="11">
        <f>(I34-R34)</f>
        <v>-1.7908282978983059E-2</v>
      </c>
    </row>
    <row r="35" spans="1:19" ht="15.75" customHeight="1" x14ac:dyDescent="0.2">
      <c r="A35" s="6" t="s">
        <v>43</v>
      </c>
      <c r="B35" s="7">
        <v>0.1</v>
      </c>
      <c r="C35" s="7"/>
      <c r="D35" s="7"/>
      <c r="E35" s="7">
        <f>0.1+0.25</f>
        <v>0.35</v>
      </c>
      <c r="F35" s="7"/>
      <c r="G35" s="7">
        <v>2.2499999999999999E-2</v>
      </c>
      <c r="H35" s="8">
        <v>0.13119775039610534</v>
      </c>
      <c r="I35" s="24">
        <f t="shared" si="0"/>
        <v>0.50293465426085238</v>
      </c>
      <c r="J35" s="25">
        <f t="shared" si="1"/>
        <v>29</v>
      </c>
      <c r="K35" s="21">
        <f>(B35+C35+D35)*(1-E35)/(1+G35)</f>
        <v>6.3569682151589244E-2</v>
      </c>
      <c r="L35" s="21">
        <f>(E35+F35)/(1+G35)</f>
        <v>0.34229828850855742</v>
      </c>
      <c r="M35" s="21">
        <f>G35/(1+G35)</f>
        <v>2.2004889975550123E-2</v>
      </c>
      <c r="N35" s="21">
        <f>H35*(1-((B35+C35+D35)*(1-E35)+E35+F35))/(1+G35)</f>
        <v>7.5061793625155623E-2</v>
      </c>
      <c r="O35" s="25">
        <v>1</v>
      </c>
      <c r="P35" s="25">
        <v>1</v>
      </c>
      <c r="Q35" s="25"/>
      <c r="R35" s="9"/>
      <c r="S35" s="11"/>
    </row>
    <row r="36" spans="1:19" ht="15.75" customHeight="1" x14ac:dyDescent="0.2">
      <c r="A36" s="6" t="s">
        <v>44</v>
      </c>
      <c r="B36" s="7">
        <v>0.25</v>
      </c>
      <c r="C36" s="7"/>
      <c r="D36" s="7"/>
      <c r="E36" s="7">
        <v>0.04</v>
      </c>
      <c r="F36" s="7"/>
      <c r="G36" s="7">
        <f>(10%+0.8%)</f>
        <v>0.10800000000000001</v>
      </c>
      <c r="H36" s="8">
        <v>0.14848402644725961</v>
      </c>
      <c r="I36" s="24">
        <f t="shared" si="0"/>
        <v>0.44666832043504234</v>
      </c>
      <c r="J36" s="25">
        <f t="shared" si="1"/>
        <v>37</v>
      </c>
      <c r="K36" s="21">
        <f>(B36+C36+D36)*(1-E36)/(1+G36)</f>
        <v>0.21660649819494582</v>
      </c>
      <c r="L36" s="21">
        <f>(E36+F36)/(1+G36)</f>
        <v>3.6101083032490974E-2</v>
      </c>
      <c r="M36" s="21">
        <f>G36/(1+G36)</f>
        <v>9.7472924187725629E-2</v>
      </c>
      <c r="N36" s="21">
        <f>H36*(1-((B36+C36+D36)*(1-E36)+E36+F36))/(1+G36)</f>
        <v>9.648781501987988E-2</v>
      </c>
      <c r="O36" s="25">
        <v>1</v>
      </c>
      <c r="P36" s="25">
        <v>1</v>
      </c>
      <c r="Q36" s="25">
        <v>1</v>
      </c>
      <c r="R36" s="10">
        <v>0.36014057580001668</v>
      </c>
      <c r="S36" s="11">
        <f>(I36-R36)</f>
        <v>8.6527744635025661E-2</v>
      </c>
    </row>
    <row r="37" spans="1:19" ht="15.75" customHeight="1" x14ac:dyDescent="0.2">
      <c r="A37" s="6" t="s">
        <v>45</v>
      </c>
      <c r="B37" s="7">
        <v>0.5</v>
      </c>
      <c r="C37" s="7"/>
      <c r="D37" s="7"/>
      <c r="E37" s="7">
        <v>0.221</v>
      </c>
      <c r="F37" s="7"/>
      <c r="G37" s="7">
        <v>0.161</v>
      </c>
      <c r="H37" s="8">
        <v>0.20492379511154654</v>
      </c>
      <c r="I37" s="24">
        <f t="shared" si="0"/>
        <v>0.73326254797239221</v>
      </c>
      <c r="J37" s="25">
        <f t="shared" si="1"/>
        <v>2</v>
      </c>
      <c r="K37" s="21">
        <f>(B37+C37+D37)*(1-E37)/(1+G37)</f>
        <v>0.33548664944013784</v>
      </c>
      <c r="L37" s="21">
        <f>(E37+F37)/(1+G37)</f>
        <v>0.19035314384151594</v>
      </c>
      <c r="M37" s="21">
        <f>G37/(1+G37)</f>
        <v>0.13867355727820843</v>
      </c>
      <c r="N37" s="21">
        <f>H37*(1-((B37+C37+D37)*(1-E37)+E37+F37))/(1+G37)</f>
        <v>6.8749197412530036E-2</v>
      </c>
      <c r="O37" s="25">
        <v>1</v>
      </c>
      <c r="P37" s="25">
        <v>1</v>
      </c>
      <c r="Q37" s="25">
        <v>1</v>
      </c>
      <c r="R37" s="7">
        <v>0.73419852189187951</v>
      </c>
      <c r="S37" s="11">
        <f>(I37-R37)</f>
        <v>-9.3597391948729847E-4</v>
      </c>
    </row>
    <row r="38" spans="1:19" ht="15.75" customHeight="1" x14ac:dyDescent="0.2">
      <c r="A38" s="6" t="s">
        <v>46</v>
      </c>
      <c r="B38" s="7">
        <f>(1-2%)*42%</f>
        <v>0.41159999999999997</v>
      </c>
      <c r="C38" s="5">
        <f>(B38*0.1)</f>
        <v>4.1160000000000002E-2</v>
      </c>
      <c r="D38" s="7"/>
      <c r="E38" s="7"/>
      <c r="F38" s="7">
        <v>6.4999999999999997E-3</v>
      </c>
      <c r="G38" s="7">
        <f>(0.009+0.017)</f>
        <v>2.6000000000000002E-2</v>
      </c>
      <c r="H38" s="8">
        <v>0.11267801597073276</v>
      </c>
      <c r="I38" s="24">
        <f t="shared" si="0"/>
        <v>0.53234845063938985</v>
      </c>
      <c r="J38" s="25">
        <f t="shared" si="1"/>
        <v>26</v>
      </c>
      <c r="K38" s="21">
        <f>(B38+C38+D38)*(1-E38)/(1+G38)</f>
        <v>0.44128654970760228</v>
      </c>
      <c r="L38" s="21">
        <f>(E38+F38)/(1+G38)</f>
        <v>6.3352826510721244E-3</v>
      </c>
      <c r="M38" s="21">
        <f>G38/(1+G38)</f>
        <v>2.5341130604288501E-2</v>
      </c>
      <c r="N38" s="21">
        <f>H38*(1-((B38+C38+D38)*(1-E38)+E38+F38))/(1+G38)</f>
        <v>5.9385487676426936E-2</v>
      </c>
      <c r="O38" s="25"/>
      <c r="P38" s="25"/>
      <c r="Q38" s="25">
        <v>1</v>
      </c>
      <c r="R38" s="7">
        <v>0.490663354339195</v>
      </c>
      <c r="S38" s="11">
        <f>(I38-R38)</f>
        <v>4.1685096300194846E-2</v>
      </c>
    </row>
    <row r="39" spans="1:19" ht="15.75" customHeight="1" x14ac:dyDescent="0.2">
      <c r="A39" s="6" t="s">
        <v>47</v>
      </c>
      <c r="B39" s="7">
        <v>0.22500000000000001</v>
      </c>
      <c r="C39" s="5">
        <f>AVERAGE(45%,48%,48%,49%,52%,48%,47.5%,48%,44%,43%,45%,47.5%,48%,47.5%,46.5%,48%,45.8%)-B39</f>
        <v>0.24605882352941169</v>
      </c>
      <c r="D39" s="7"/>
      <c r="E39" s="7"/>
      <c r="F39" s="7"/>
      <c r="G39" s="7"/>
      <c r="H39" s="8">
        <v>0.13223096618977859</v>
      </c>
      <c r="I39" s="24">
        <f t="shared" si="0"/>
        <v>0.5410012263516758</v>
      </c>
      <c r="J39" s="25">
        <f t="shared" si="1"/>
        <v>23</v>
      </c>
      <c r="K39" s="21">
        <f>(B39+C39+D39)*(1-E39)/(1+G39)</f>
        <v>0.4710588235294117</v>
      </c>
      <c r="L39" s="21">
        <f>(E39+F39)/(1+G39)</f>
        <v>0</v>
      </c>
      <c r="M39" s="21">
        <f>G39/(1+G39)</f>
        <v>0</v>
      </c>
      <c r="N39" s="21">
        <f>H39*(1-((B39+C39+D39)*(1-E39)+E39+F39))/(1+G39)</f>
        <v>6.9942402822264063E-2</v>
      </c>
      <c r="O39" s="25">
        <v>1</v>
      </c>
      <c r="P39" s="25">
        <v>1</v>
      </c>
      <c r="Q39" s="25">
        <v>1</v>
      </c>
      <c r="R39" s="7">
        <v>0.51923026979184783</v>
      </c>
      <c r="S39" s="11">
        <f>(I39-R39)</f>
        <v>2.177095655982797E-2</v>
      </c>
    </row>
    <row r="40" spans="1:19" ht="15.75" customHeight="1" x14ac:dyDescent="0.2">
      <c r="A40" s="6" t="s">
        <v>48</v>
      </c>
      <c r="B40" s="7">
        <v>0.25</v>
      </c>
      <c r="C40" s="7">
        <v>0.32190000000000002</v>
      </c>
      <c r="D40" s="7">
        <v>0.03</v>
      </c>
      <c r="E40" s="7"/>
      <c r="F40" s="7"/>
      <c r="G40" s="7">
        <v>0.31419999999999998</v>
      </c>
      <c r="H40" s="8">
        <v>0.19792938504128019</v>
      </c>
      <c r="I40" s="24">
        <f t="shared" si="0"/>
        <v>0.75703522156820402</v>
      </c>
      <c r="J40" s="25">
        <f t="shared" si="1"/>
        <v>1</v>
      </c>
      <c r="K40" s="21">
        <f>(B40+C40+D40)*(1-E40)/(1+G40)</f>
        <v>0.45799726069091468</v>
      </c>
      <c r="L40" s="21">
        <f>(E40+F40)/(1+G40)</f>
        <v>0</v>
      </c>
      <c r="M40" s="21">
        <f>G40/(1+G40)</f>
        <v>0.23908080961801853</v>
      </c>
      <c r="N40" s="21">
        <f>H40*(1-((B40+C40+D40)*(1-E40)+E40+F40))/(1+G40)</f>
        <v>5.9957151259270751E-2</v>
      </c>
      <c r="O40" s="25">
        <v>1</v>
      </c>
      <c r="P40" s="25">
        <v>1</v>
      </c>
      <c r="Q40" s="25">
        <v>1</v>
      </c>
      <c r="R40" s="7">
        <v>0.75361762039366997</v>
      </c>
      <c r="S40" s="11">
        <f>(I40-R40)</f>
        <v>3.4176011745340462E-3</v>
      </c>
    </row>
    <row r="41" spans="1:19" ht="15.75" customHeight="1" x14ac:dyDescent="0.2">
      <c r="A41" s="6" t="s">
        <v>49</v>
      </c>
      <c r="B41" s="7">
        <v>0.115</v>
      </c>
      <c r="C41" s="7">
        <v>0.22389999999999999</v>
      </c>
      <c r="D41" s="7"/>
      <c r="E41" s="7">
        <f>(0.05125+0.005)</f>
        <v>5.6249999999999994E-2</v>
      </c>
      <c r="F41" s="7"/>
      <c r="G41" s="7">
        <f>(5.125%+0.005)</f>
        <v>5.6249999999999994E-2</v>
      </c>
      <c r="H41" s="8">
        <v>8.6086359928541273E-2</v>
      </c>
      <c r="I41" s="24">
        <f t="shared" si="0"/>
        <v>0.46016310991042936</v>
      </c>
      <c r="J41" s="25">
        <f t="shared" si="1"/>
        <v>34</v>
      </c>
      <c r="K41" s="21">
        <f>(B41+C41+D41)*(1-E41)/(1+G41)</f>
        <v>0.30280414201183431</v>
      </c>
      <c r="L41" s="21">
        <f>(E41+F41)/(1+G41)</f>
        <v>5.3254437869822487E-2</v>
      </c>
      <c r="M41" s="21">
        <f>G41/(1+G41)</f>
        <v>5.3254437869822487E-2</v>
      </c>
      <c r="N41" s="21">
        <f>H41*(1-((B41+C41+D41)*(1-E41)+E41+F41))/(1+G41)</f>
        <v>5.0850092158950033E-2</v>
      </c>
      <c r="O41" s="25"/>
      <c r="P41" s="25">
        <v>1</v>
      </c>
      <c r="Q41" s="25">
        <v>1</v>
      </c>
      <c r="R41" s="7">
        <v>0.50802890534609346</v>
      </c>
      <c r="S41" s="11">
        <f>(I41-R41)</f>
        <v>-4.7865795435664105E-2</v>
      </c>
    </row>
    <row r="42" spans="1:19" ht="15.75" customHeight="1" x14ac:dyDescent="0.2">
      <c r="A42" s="6" t="s">
        <v>50</v>
      </c>
      <c r="B42" s="7">
        <v>0.35</v>
      </c>
      <c r="C42" s="7"/>
      <c r="D42" s="7"/>
      <c r="E42" s="7">
        <v>0.01</v>
      </c>
      <c r="F42" s="7"/>
      <c r="G42" s="7">
        <v>0.02</v>
      </c>
      <c r="H42" s="8">
        <v>0.14322227594295445</v>
      </c>
      <c r="I42" s="24">
        <f t="shared" si="0"/>
        <v>0.45947405349930504</v>
      </c>
      <c r="J42" s="25">
        <f t="shared" si="1"/>
        <v>35</v>
      </c>
      <c r="K42" s="21">
        <f>(B42+C42+D42)*(1-E42)/(1+G42)</f>
        <v>0.33970588235294114</v>
      </c>
      <c r="L42" s="21">
        <f>(E42+F42)/(1+G42)</f>
        <v>9.8039215686274508E-3</v>
      </c>
      <c r="M42" s="21">
        <f>G42/(1+G42)</f>
        <v>1.9607843137254902E-2</v>
      </c>
      <c r="N42" s="21">
        <f>H42*(1-((B42+C42+D42)*(1-E42)+E42+F42))/(1+G42)</f>
        <v>9.035640644048154E-2</v>
      </c>
      <c r="O42" s="25"/>
      <c r="P42" s="25">
        <v>1</v>
      </c>
      <c r="Q42" s="25">
        <v>1</v>
      </c>
      <c r="R42" s="9"/>
      <c r="S42" s="11"/>
    </row>
    <row r="43" spans="1:19" ht="15.75" customHeight="1" x14ac:dyDescent="0.2">
      <c r="A43" s="6" t="s">
        <v>51</v>
      </c>
      <c r="B43" s="7">
        <v>0.45</v>
      </c>
      <c r="C43" s="7"/>
      <c r="D43" s="7"/>
      <c r="E43" s="7"/>
      <c r="F43" s="7">
        <v>0.02</v>
      </c>
      <c r="G43" s="7">
        <v>0.13800000000000001</v>
      </c>
      <c r="H43" s="8">
        <v>0.12187014770484</v>
      </c>
      <c r="I43" s="24">
        <f t="shared" si="0"/>
        <v>0.59102915490647223</v>
      </c>
      <c r="J43" s="25">
        <f t="shared" si="1"/>
        <v>16</v>
      </c>
      <c r="K43" s="21">
        <f>(B43+C43+D43)*(1-E43)/(1+G43)</f>
        <v>0.39543057996485065</v>
      </c>
      <c r="L43" s="21">
        <f>(E43+F43)/(1+G43)</f>
        <v>1.7574692442882251E-2</v>
      </c>
      <c r="M43" s="21">
        <f>G43/(1+G43)</f>
        <v>0.12126537785588755</v>
      </c>
      <c r="N43" s="21">
        <f>H43*(1-((B43+C43+D43)*(1-E43)+E43+F43))/(1+G43)</f>
        <v>5.6758504642851683E-2</v>
      </c>
      <c r="O43" s="25">
        <v>1</v>
      </c>
      <c r="P43" s="25">
        <v>1</v>
      </c>
      <c r="Q43" s="25">
        <v>1</v>
      </c>
      <c r="R43" s="7">
        <v>0.59248094966926135</v>
      </c>
      <c r="S43" s="11">
        <f>(I43-R43)</f>
        <v>-1.4517947627891159E-3</v>
      </c>
    </row>
    <row r="44" spans="1:19" ht="15.75" customHeight="1" x14ac:dyDescent="0.2">
      <c r="A44" s="6" t="s">
        <v>52</v>
      </c>
      <c r="B44" s="7">
        <v>0.37</v>
      </c>
      <c r="C44" s="5">
        <v>5.0799999999999998E-2</v>
      </c>
      <c r="D44" s="7"/>
      <c r="E44" s="7"/>
      <c r="F44" s="7">
        <f>(0.0145+0.009)</f>
        <v>2.35E-2</v>
      </c>
      <c r="G44" s="7">
        <v>1.4500000000000001E-2</v>
      </c>
      <c r="H44" s="8">
        <v>3.8418793219551439E-2</v>
      </c>
      <c r="I44" s="24">
        <f t="shared" si="0"/>
        <v>0.47328666672459813</v>
      </c>
      <c r="J44" s="25">
        <f t="shared" si="1"/>
        <v>32</v>
      </c>
      <c r="K44" s="21">
        <f>(B44+C44+D44)*(1-E44)/(1+G44)</f>
        <v>0.41478560867422376</v>
      </c>
      <c r="L44" s="21">
        <f>(E44+F44)/(1+G44)</f>
        <v>2.3164120256283886E-2</v>
      </c>
      <c r="M44" s="21">
        <f>G44/(1+G44)</f>
        <v>1.4292755051749631E-2</v>
      </c>
      <c r="N44" s="21">
        <f>H44*(1-((B44+C44+D44)*(1-E44)+E44+F44))/(1+G44)</f>
        <v>2.1044182742340795E-2</v>
      </c>
      <c r="O44" s="25"/>
      <c r="P44" s="25"/>
      <c r="Q44" s="25">
        <v>1</v>
      </c>
      <c r="R44" s="7">
        <v>0.48401218210023228</v>
      </c>
      <c r="S44" s="11">
        <f>(I44-R44)</f>
        <v>-1.0725515375634154E-2</v>
      </c>
    </row>
    <row r="46" spans="1:19" ht="15.75" customHeight="1" x14ac:dyDescent="0.2">
      <c r="A46" s="1" t="s">
        <v>57</v>
      </c>
      <c r="B46" s="7">
        <f>SUM(B4:B44)/41</f>
        <v>0.35163658536585363</v>
      </c>
      <c r="C46" s="7">
        <f t="shared" ref="C46:R46" si="2">SUM(C4:C44)/41</f>
        <v>3.8509277121730488E-2</v>
      </c>
      <c r="D46" s="7">
        <f t="shared" si="2"/>
        <v>1.6134146341463419E-2</v>
      </c>
      <c r="E46" s="7">
        <f t="shared" si="2"/>
        <v>2.954512195121951E-2</v>
      </c>
      <c r="F46" s="7">
        <f t="shared" si="2"/>
        <v>1.5536341463414633E-2</v>
      </c>
      <c r="G46" s="7">
        <f t="shared" si="2"/>
        <v>7.6503353658536569E-2</v>
      </c>
      <c r="H46" s="7">
        <f t="shared" si="2"/>
        <v>0.16004448815519118</v>
      </c>
      <c r="I46" s="7">
        <f t="shared" si="2"/>
        <v>0.5586022084503196</v>
      </c>
      <c r="J46" s="7"/>
      <c r="K46" s="7">
        <f t="shared" si="2"/>
        <v>0.36970271359190587</v>
      </c>
      <c r="L46" s="7">
        <f t="shared" si="2"/>
        <v>4.0680116971903643E-2</v>
      </c>
      <c r="M46" s="7">
        <f t="shared" si="2"/>
        <v>6.4205333489873187E-2</v>
      </c>
      <c r="N46" s="7">
        <f t="shared" si="2"/>
        <v>8.4014044396636969E-2</v>
      </c>
      <c r="O46" s="7">
        <f>SUMPRODUCT(O4:O44,$I4:$I44)/SUM(O4:O44)</f>
        <v>0.57843686744760792</v>
      </c>
      <c r="P46" s="7">
        <f>SUMPRODUCT(P4:P44,$I4:$I44)/SUM(P4:P44)</f>
        <v>0.5727958681695976</v>
      </c>
      <c r="Q46" s="7">
        <f>SUMPRODUCT(Q4:Q44,$I4:$I44)/SUM(Q4:Q44)</f>
        <v>0.57013337926274732</v>
      </c>
      <c r="R46" s="7">
        <f t="shared" si="2"/>
        <v>0.43632135708908243</v>
      </c>
      <c r="S46"/>
    </row>
    <row r="47" spans="1:19" ht="15.75" customHeight="1" x14ac:dyDescent="0.2">
      <c r="S47"/>
    </row>
  </sheetData>
  <mergeCells count="2">
    <mergeCell ref="B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J22" sqref="J22"/>
    </sheetView>
  </sheetViews>
  <sheetFormatPr defaultRowHeight="12.75" x14ac:dyDescent="0.2"/>
  <cols>
    <col min="1" max="1" width="9.140625" style="6"/>
    <col min="2" max="2" width="9.140625" style="1"/>
    <col min="3" max="3" width="17.5703125" style="1" bestFit="1" customWidth="1"/>
    <col min="4" max="4" width="14.42578125" style="1"/>
    <col min="6" max="7" width="14.42578125" style="1"/>
    <col min="8" max="8" width="18" style="21" customWidth="1"/>
  </cols>
  <sheetData>
    <row r="1" spans="1:9" x14ac:dyDescent="0.2">
      <c r="D1" s="12" t="s">
        <v>80</v>
      </c>
    </row>
    <row r="2" spans="1:9" x14ac:dyDescent="0.2">
      <c r="A2" s="16" t="s">
        <v>54</v>
      </c>
      <c r="B2" s="2" t="s">
        <v>3</v>
      </c>
      <c r="C2" s="2" t="s">
        <v>79</v>
      </c>
      <c r="D2" s="2" t="s">
        <v>1</v>
      </c>
      <c r="E2" s="12" t="s">
        <v>2</v>
      </c>
      <c r="F2" s="2" t="s">
        <v>8</v>
      </c>
      <c r="G2" s="2" t="s">
        <v>78</v>
      </c>
      <c r="H2" s="22" t="s">
        <v>53</v>
      </c>
    </row>
    <row r="3" spans="1:9" x14ac:dyDescent="0.2">
      <c r="A3" s="6">
        <v>1</v>
      </c>
      <c r="B3" s="6" t="s">
        <v>48</v>
      </c>
      <c r="C3" s="6" t="str">
        <f t="shared" ref="C3:C21" si="0">A3 &amp; ". " &amp; B3</f>
        <v>1. Sweden</v>
      </c>
      <c r="D3" s="13">
        <v>0.45799726069091468</v>
      </c>
      <c r="E3" s="13">
        <v>0</v>
      </c>
      <c r="F3" s="21">
        <v>0.23908080961801853</v>
      </c>
      <c r="G3" s="21">
        <v>5.9957151259270751E-2</v>
      </c>
      <c r="H3" s="23">
        <v>0.75703522156820402</v>
      </c>
      <c r="I3" s="13"/>
    </row>
    <row r="4" spans="1:9" x14ac:dyDescent="0.2">
      <c r="A4" s="6">
        <v>2</v>
      </c>
      <c r="B4" s="6" t="s">
        <v>45</v>
      </c>
      <c r="C4" s="6" t="str">
        <f t="shared" si="0"/>
        <v>2. Slovenia</v>
      </c>
      <c r="D4" s="13">
        <v>0.33548664944013784</v>
      </c>
      <c r="E4" s="13">
        <v>0.19035314384151594</v>
      </c>
      <c r="F4" s="21">
        <v>0.13867355727820843</v>
      </c>
      <c r="G4" s="21">
        <v>6.8749197412530036E-2</v>
      </c>
      <c r="H4" s="23">
        <v>0.73326254797239221</v>
      </c>
      <c r="I4" s="13"/>
    </row>
    <row r="5" spans="1:9" x14ac:dyDescent="0.2">
      <c r="A5" s="6">
        <v>3</v>
      </c>
      <c r="B5" s="6" t="s">
        <v>13</v>
      </c>
      <c r="C5" s="6" t="str">
        <f t="shared" si="0"/>
        <v>3. Belgium</v>
      </c>
      <c r="D5" s="13">
        <v>0.36582671281365531</v>
      </c>
      <c r="E5" s="13">
        <v>0.10280814913867695</v>
      </c>
      <c r="F5" s="21">
        <v>0.21340360261150002</v>
      </c>
      <c r="G5" s="21">
        <v>4.6463003023215738E-2</v>
      </c>
      <c r="H5" s="23">
        <v>0.72850146758704792</v>
      </c>
      <c r="I5" s="13"/>
    </row>
    <row r="6" spans="1:9" x14ac:dyDescent="0.2">
      <c r="A6" s="6">
        <v>4</v>
      </c>
      <c r="B6" s="6" t="s">
        <v>42</v>
      </c>
      <c r="C6" s="6" t="str">
        <f t="shared" si="0"/>
        <v>4. Portugal</v>
      </c>
      <c r="D6" s="13">
        <v>0.38117171717171716</v>
      </c>
      <c r="E6" s="13">
        <v>8.8888888888888892E-2</v>
      </c>
      <c r="F6" s="21">
        <v>0.19191919191919191</v>
      </c>
      <c r="G6" s="21">
        <v>5.5728840137539162E-2</v>
      </c>
      <c r="H6" s="23">
        <v>0.71770863811733709</v>
      </c>
      <c r="I6" s="13"/>
    </row>
    <row r="7" spans="1:9" x14ac:dyDescent="0.2">
      <c r="A7" s="6">
        <v>5</v>
      </c>
      <c r="B7" s="4" t="s">
        <v>23</v>
      </c>
      <c r="C7" s="6" t="str">
        <f t="shared" si="0"/>
        <v>5. Finland</v>
      </c>
      <c r="D7" s="13">
        <v>0.3810671926635823</v>
      </c>
      <c r="E7" s="13">
        <v>8.0882352941176475E-2</v>
      </c>
      <c r="F7" s="21">
        <v>0.17382683410442831</v>
      </c>
      <c r="G7" s="21">
        <v>7.1576772501354829E-2</v>
      </c>
      <c r="H7" s="23">
        <v>0.70735315221054196</v>
      </c>
      <c r="I7" s="13"/>
    </row>
    <row r="8" spans="1:9" x14ac:dyDescent="0.2">
      <c r="A8" s="6">
        <v>6</v>
      </c>
      <c r="B8" s="6" t="s">
        <v>24</v>
      </c>
      <c r="C8" s="6" t="str">
        <f t="shared" si="0"/>
        <v>6. France</v>
      </c>
      <c r="D8" s="13">
        <v>0.37068557919621747</v>
      </c>
      <c r="E8" s="13">
        <v>8.2334719165240086E-2</v>
      </c>
      <c r="F8" s="21">
        <v>0.18480476074019728</v>
      </c>
      <c r="G8" s="21">
        <v>5.503409970439288E-2</v>
      </c>
      <c r="H8" s="23">
        <v>0.69285915880604776</v>
      </c>
      <c r="I8" s="13"/>
    </row>
    <row r="9" spans="1:9" x14ac:dyDescent="0.2">
      <c r="A9" s="6">
        <v>7</v>
      </c>
      <c r="B9" s="6" t="s">
        <v>21</v>
      </c>
      <c r="C9" s="6" t="str">
        <f t="shared" si="0"/>
        <v>7. Denmark</v>
      </c>
      <c r="D9" s="13">
        <v>0.47886000000000001</v>
      </c>
      <c r="E9" s="13">
        <v>0.08</v>
      </c>
      <c r="F9" s="21">
        <v>0</v>
      </c>
      <c r="G9" s="21">
        <v>0.10304212178201526</v>
      </c>
      <c r="H9" s="23">
        <v>0.66190212178201524</v>
      </c>
      <c r="I9" s="13"/>
    </row>
    <row r="10" spans="1:9" x14ac:dyDescent="0.2">
      <c r="A10" s="6">
        <v>8</v>
      </c>
      <c r="B10" s="6" t="s">
        <v>12</v>
      </c>
      <c r="C10" s="6" t="str">
        <f t="shared" si="0"/>
        <v>8. Austria</v>
      </c>
      <c r="D10" s="13">
        <v>0.51449953227315259</v>
      </c>
      <c r="E10" s="13">
        <v>0</v>
      </c>
      <c r="F10" s="21">
        <v>6.4546304957904588E-2</v>
      </c>
      <c r="G10" s="21">
        <v>6.8274056410903464E-2</v>
      </c>
      <c r="H10" s="23">
        <v>0.64731989364196052</v>
      </c>
      <c r="I10" s="13"/>
    </row>
    <row r="11" spans="1:9" x14ac:dyDescent="0.2">
      <c r="A11" s="6">
        <v>9</v>
      </c>
      <c r="B11" s="6" t="s">
        <v>29</v>
      </c>
      <c r="C11" s="6" t="str">
        <f t="shared" si="0"/>
        <v>9. Ireland</v>
      </c>
      <c r="D11" s="13">
        <v>0.43262730959891849</v>
      </c>
      <c r="E11" s="13">
        <v>3.6052275799909869E-2</v>
      </c>
      <c r="F11" s="21">
        <v>9.869310500225327E-2</v>
      </c>
      <c r="G11" s="21">
        <v>7.6110782852848294E-2</v>
      </c>
      <c r="H11" s="23">
        <v>0.64348347325392996</v>
      </c>
      <c r="I11" s="13"/>
    </row>
    <row r="12" spans="1:9" x14ac:dyDescent="0.2">
      <c r="A12" s="6">
        <v>10</v>
      </c>
      <c r="B12" s="6" t="s">
        <v>17</v>
      </c>
      <c r="C12" s="6" t="str">
        <f t="shared" si="0"/>
        <v>10. Croatia</v>
      </c>
      <c r="D12" s="13">
        <v>0.36463519313304715</v>
      </c>
      <c r="E12" s="13">
        <v>0</v>
      </c>
      <c r="F12" s="21">
        <v>0.14163090128755365</v>
      </c>
      <c r="G12" s="21">
        <v>0.13346513472632168</v>
      </c>
      <c r="H12" s="23">
        <v>0.63973122914692249</v>
      </c>
      <c r="I12" s="13"/>
    </row>
    <row r="13" spans="1:9" x14ac:dyDescent="0.2">
      <c r="A13" s="6">
        <v>11</v>
      </c>
      <c r="B13" s="6" t="s">
        <v>40</v>
      </c>
      <c r="C13" s="6" t="str">
        <f t="shared" si="0"/>
        <v>11. Norway</v>
      </c>
      <c r="D13" s="13">
        <v>0.33805309734513278</v>
      </c>
      <c r="E13" s="13">
        <v>7.2566371681415942E-2</v>
      </c>
      <c r="F13" s="21">
        <v>0.11504424778761063</v>
      </c>
      <c r="G13" s="21">
        <v>9.7492254263905703E-2</v>
      </c>
      <c r="H13" s="23">
        <v>0.62315597107806509</v>
      </c>
      <c r="I13" s="13"/>
    </row>
    <row r="14" spans="1:9" x14ac:dyDescent="0.2">
      <c r="A14" s="6">
        <v>12</v>
      </c>
      <c r="B14" s="6" t="s">
        <v>26</v>
      </c>
      <c r="C14" s="6" t="str">
        <f t="shared" si="0"/>
        <v>12. Greece</v>
      </c>
      <c r="D14" s="13">
        <v>0.55000000000000004</v>
      </c>
      <c r="E14" s="13">
        <v>0</v>
      </c>
      <c r="F14" s="21">
        <v>0</v>
      </c>
      <c r="G14" s="21">
        <v>7.1842603085850845E-2</v>
      </c>
      <c r="H14" s="23">
        <v>0.62184260308585093</v>
      </c>
      <c r="I14" s="13"/>
    </row>
    <row r="15" spans="1:9" x14ac:dyDescent="0.2">
      <c r="A15" s="6">
        <v>13</v>
      </c>
      <c r="B15" s="6" t="s">
        <v>32</v>
      </c>
      <c r="C15" s="6" t="str">
        <f t="shared" si="0"/>
        <v>13. Japan</v>
      </c>
      <c r="D15" s="13">
        <v>0.55121222452811536</v>
      </c>
      <c r="E15" s="13">
        <v>2.9647198339756895E-3</v>
      </c>
      <c r="F15" s="21">
        <v>1.1760055341436901E-2</v>
      </c>
      <c r="G15" s="21">
        <v>3.4240504666483297E-2</v>
      </c>
      <c r="H15" s="23">
        <v>0.60017750437001127</v>
      </c>
      <c r="I15" s="13"/>
    </row>
    <row r="16" spans="1:9" x14ac:dyDescent="0.2">
      <c r="A16" s="6">
        <v>14</v>
      </c>
      <c r="B16" s="6" t="s">
        <v>38</v>
      </c>
      <c r="C16" s="6" t="str">
        <f t="shared" si="0"/>
        <v>14. Netherlands</v>
      </c>
      <c r="D16" s="13">
        <v>0.51749999999999996</v>
      </c>
      <c r="E16" s="13">
        <v>0</v>
      </c>
      <c r="F16" s="21">
        <v>0</v>
      </c>
      <c r="G16" s="21">
        <v>7.5416656376914734E-2</v>
      </c>
      <c r="H16" s="23">
        <v>0.59291665637691471</v>
      </c>
      <c r="I16" s="13"/>
    </row>
    <row r="17" spans="1:9" x14ac:dyDescent="0.2">
      <c r="A17" s="6">
        <v>15</v>
      </c>
      <c r="B17" s="6" t="s">
        <v>35</v>
      </c>
      <c r="C17" s="6" t="str">
        <f t="shared" si="0"/>
        <v>15. Luxembourg</v>
      </c>
      <c r="D17" s="13">
        <v>0.45779999999999998</v>
      </c>
      <c r="E17" s="13">
        <v>1.4E-2</v>
      </c>
      <c r="F17" s="21">
        <v>0</v>
      </c>
      <c r="G17" s="21">
        <v>0.12003342537326885</v>
      </c>
      <c r="H17" s="23">
        <v>0.59183342537326888</v>
      </c>
      <c r="I17" s="13"/>
    </row>
    <row r="18" spans="1:9" x14ac:dyDescent="0.2">
      <c r="A18" s="6">
        <v>16</v>
      </c>
      <c r="B18" s="6" t="s">
        <v>51</v>
      </c>
      <c r="C18" s="6" t="str">
        <f t="shared" si="0"/>
        <v>16. United Kingdom</v>
      </c>
      <c r="D18" s="13">
        <v>0.39543057996485065</v>
      </c>
      <c r="E18" s="13">
        <v>1.7574692442882251E-2</v>
      </c>
      <c r="F18" s="21">
        <v>0.12126537785588755</v>
      </c>
      <c r="G18" s="21">
        <v>5.6758504642851683E-2</v>
      </c>
      <c r="H18" s="23">
        <v>0.59102915490647223</v>
      </c>
      <c r="I18" s="13"/>
    </row>
    <row r="19" spans="1:9" x14ac:dyDescent="0.2">
      <c r="A19" s="6">
        <v>17</v>
      </c>
      <c r="B19" s="6" t="s">
        <v>28</v>
      </c>
      <c r="C19" s="6" t="str">
        <f t="shared" si="0"/>
        <v>17. Iceland</v>
      </c>
      <c r="D19" s="13">
        <v>0.43275620028076744</v>
      </c>
      <c r="E19" s="13">
        <v>0</v>
      </c>
      <c r="F19" s="21">
        <v>6.4108563406644836E-2</v>
      </c>
      <c r="G19" s="21">
        <v>9.357759471888992E-2</v>
      </c>
      <c r="H19" s="23">
        <v>0.59044235840630221</v>
      </c>
      <c r="I19" s="13"/>
    </row>
    <row r="20" spans="1:9" x14ac:dyDescent="0.2">
      <c r="A20" s="6">
        <v>18</v>
      </c>
      <c r="B20" s="6" t="s">
        <v>30</v>
      </c>
      <c r="C20" s="6" t="str">
        <f t="shared" si="0"/>
        <v>18. Israel</v>
      </c>
      <c r="D20" s="13">
        <v>0.5</v>
      </c>
      <c r="E20" s="13">
        <v>0</v>
      </c>
      <c r="F20" s="21">
        <v>0</v>
      </c>
      <c r="G20" s="21">
        <v>7.6327056465402693E-2</v>
      </c>
      <c r="H20" s="23">
        <v>0.57632705646540272</v>
      </c>
      <c r="I20" s="13"/>
    </row>
    <row r="21" spans="1:9" x14ac:dyDescent="0.2">
      <c r="A21" s="6">
        <v>19</v>
      </c>
      <c r="B21" s="6" t="s">
        <v>27</v>
      </c>
      <c r="C21" s="6" t="str">
        <f t="shared" si="0"/>
        <v>19. Hungary</v>
      </c>
      <c r="D21" s="13">
        <v>0.1276595744680851</v>
      </c>
      <c r="E21" s="13">
        <v>0.1574468085106383</v>
      </c>
      <c r="F21" s="21">
        <v>0.14893617021276595</v>
      </c>
      <c r="G21" s="21">
        <v>0.13779995888035573</v>
      </c>
      <c r="H21" s="23">
        <v>0.57184251207184511</v>
      </c>
      <c r="I21" s="13"/>
    </row>
    <row r="22" spans="1:9" x14ac:dyDescent="0.2">
      <c r="B22" s="6"/>
      <c r="C22" s="6" t="s">
        <v>57</v>
      </c>
      <c r="D22" s="13">
        <v>0.36970271359190587</v>
      </c>
      <c r="E22" s="13">
        <v>4.0680116971903643E-2</v>
      </c>
      <c r="F22" s="21">
        <v>6.4205333489873187E-2</v>
      </c>
      <c r="G22" s="21">
        <v>8.4014044396636969E-2</v>
      </c>
      <c r="H22" s="23">
        <v>0.5586022084503196</v>
      </c>
      <c r="I22" s="13"/>
    </row>
    <row r="23" spans="1:9" x14ac:dyDescent="0.2">
      <c r="A23" s="6">
        <v>20</v>
      </c>
      <c r="B23" s="6" t="s">
        <v>15</v>
      </c>
      <c r="C23" s="6" t="str">
        <f t="shared" ref="C23:C44" si="1">A23 &amp; ". " &amp; B23</f>
        <v>20. Canada</v>
      </c>
      <c r="D23" s="13">
        <v>0.50456153846153851</v>
      </c>
      <c r="E23" s="13">
        <v>0</v>
      </c>
      <c r="F23" s="21">
        <v>0</v>
      </c>
      <c r="G23" s="21">
        <v>4.4197213658312876E-2</v>
      </c>
      <c r="H23" s="23">
        <v>0.54875875211985137</v>
      </c>
      <c r="I23" s="13"/>
    </row>
    <row r="24" spans="1:9" x14ac:dyDescent="0.2">
      <c r="A24" s="6">
        <v>21</v>
      </c>
      <c r="B24" s="6" t="s">
        <v>25</v>
      </c>
      <c r="C24" s="6" t="str">
        <f t="shared" si="1"/>
        <v>21. Germany</v>
      </c>
      <c r="D24" s="13">
        <v>0.47475000000000001</v>
      </c>
      <c r="E24" s="13">
        <v>0</v>
      </c>
      <c r="F24" s="21">
        <v>0</v>
      </c>
      <c r="G24" s="21">
        <v>7.2547570718223459E-2</v>
      </c>
      <c r="H24" s="23">
        <v>0.54729757071822349</v>
      </c>
      <c r="I24" s="13"/>
    </row>
    <row r="25" spans="1:9" x14ac:dyDescent="0.2">
      <c r="A25" s="6">
        <v>22</v>
      </c>
      <c r="B25" s="6" t="s">
        <v>22</v>
      </c>
      <c r="C25" s="6" t="str">
        <f t="shared" si="1"/>
        <v>22. Estonia</v>
      </c>
      <c r="D25" s="13">
        <v>0.14708520179372198</v>
      </c>
      <c r="E25" s="13">
        <v>1.195814648729447E-2</v>
      </c>
      <c r="F25" s="21">
        <v>0.25261584454409569</v>
      </c>
      <c r="G25" s="21">
        <v>0.13315265562946091</v>
      </c>
      <c r="H25" s="23">
        <v>0.54481184845457298</v>
      </c>
      <c r="I25" s="13"/>
    </row>
    <row r="26" spans="1:9" x14ac:dyDescent="0.2">
      <c r="A26" s="6">
        <v>23</v>
      </c>
      <c r="B26" s="6" t="s">
        <v>47</v>
      </c>
      <c r="C26" s="6" t="str">
        <f t="shared" si="1"/>
        <v>23. Spain</v>
      </c>
      <c r="D26" s="13">
        <v>0.4710588235294117</v>
      </c>
      <c r="E26" s="13">
        <v>0</v>
      </c>
      <c r="F26" s="21">
        <v>0</v>
      </c>
      <c r="G26" s="21">
        <v>6.9942402822264063E-2</v>
      </c>
      <c r="H26" s="23">
        <v>0.5410012263516758</v>
      </c>
      <c r="I26" s="13"/>
    </row>
    <row r="27" spans="1:9" x14ac:dyDescent="0.2">
      <c r="A27" s="6">
        <v>24</v>
      </c>
      <c r="B27" s="4" t="s">
        <v>31</v>
      </c>
      <c r="C27" s="6" t="str">
        <f t="shared" si="1"/>
        <v>24. Italy</v>
      </c>
      <c r="D27" s="13">
        <v>0.4723</v>
      </c>
      <c r="E27" s="13">
        <v>0</v>
      </c>
      <c r="F27" s="21">
        <v>0</v>
      </c>
      <c r="G27" s="21">
        <v>6.7888428776942636E-2</v>
      </c>
      <c r="H27" s="23">
        <v>0.54018842877694262</v>
      </c>
      <c r="I27" s="13"/>
    </row>
    <row r="28" spans="1:9" x14ac:dyDescent="0.2">
      <c r="A28" s="6">
        <v>25</v>
      </c>
      <c r="B28" s="6" t="s">
        <v>10</v>
      </c>
      <c r="C28" s="6" t="str">
        <f t="shared" si="1"/>
        <v>25. Australia</v>
      </c>
      <c r="D28" s="13">
        <v>0.42646449090801403</v>
      </c>
      <c r="E28" s="13">
        <v>1.895397737368951E-2</v>
      </c>
      <c r="F28" s="21">
        <v>5.2301131315524496E-2</v>
      </c>
      <c r="G28" s="21">
        <v>3.8139443118272484E-2</v>
      </c>
      <c r="H28" s="23">
        <v>0.53585904271550056</v>
      </c>
      <c r="I28" s="13"/>
    </row>
    <row r="29" spans="1:9" x14ac:dyDescent="0.2">
      <c r="A29" s="6">
        <v>26</v>
      </c>
      <c r="B29" s="6" t="s">
        <v>46</v>
      </c>
      <c r="C29" s="6" t="str">
        <f t="shared" si="1"/>
        <v>26. South Korea</v>
      </c>
      <c r="D29" s="13">
        <v>0.44128654970760228</v>
      </c>
      <c r="E29" s="13">
        <v>6.3352826510721244E-3</v>
      </c>
      <c r="F29" s="21">
        <v>2.5341130604288501E-2</v>
      </c>
      <c r="G29" s="21">
        <v>5.9385487676426936E-2</v>
      </c>
      <c r="H29" s="23">
        <v>0.53234845063938985</v>
      </c>
      <c r="I29" s="13"/>
    </row>
    <row r="30" spans="1:9" x14ac:dyDescent="0.2">
      <c r="A30" s="6">
        <v>27</v>
      </c>
      <c r="B30" s="6" t="s">
        <v>41</v>
      </c>
      <c r="C30" s="6" t="str">
        <f>A30 &amp; ". " &amp; B30</f>
        <v>27. Poland</v>
      </c>
      <c r="D30" s="13">
        <v>0.33829110875638185</v>
      </c>
      <c r="E30" s="13">
        <v>3.534341585589057E-2</v>
      </c>
      <c r="F30" s="21">
        <v>3.6701666506116948E-2</v>
      </c>
      <c r="G30" s="21">
        <v>0.10340423891110588</v>
      </c>
      <c r="H30" s="23">
        <v>0.51374043002949521</v>
      </c>
      <c r="I30" s="13"/>
    </row>
    <row r="31" spans="1:9" x14ac:dyDescent="0.2">
      <c r="A31" s="6">
        <v>28</v>
      </c>
      <c r="B31" s="6" t="s">
        <v>43</v>
      </c>
      <c r="C31" s="6" t="str">
        <f t="shared" si="1"/>
        <v>28. Romania</v>
      </c>
      <c r="D31" s="13">
        <v>6.3569682151589244E-2</v>
      </c>
      <c r="E31" s="13">
        <v>0.34229828850855742</v>
      </c>
      <c r="F31" s="21">
        <v>2.2004889975550123E-2</v>
      </c>
      <c r="G31" s="21">
        <v>7.5061793625155623E-2</v>
      </c>
      <c r="H31" s="23">
        <v>0.50293465426085238</v>
      </c>
      <c r="I31" s="13"/>
    </row>
    <row r="32" spans="1:9" x14ac:dyDescent="0.2">
      <c r="A32" s="6">
        <v>29</v>
      </c>
      <c r="B32" s="6" t="s">
        <v>33</v>
      </c>
      <c r="C32" s="6" t="str">
        <f t="shared" si="1"/>
        <v>29. Latvia</v>
      </c>
      <c r="D32" s="13">
        <v>0.27484716157205236</v>
      </c>
      <c r="E32" s="13">
        <v>0</v>
      </c>
      <c r="F32" s="21">
        <v>0.12663755458515283</v>
      </c>
      <c r="G32" s="21">
        <v>0.10204501926828112</v>
      </c>
      <c r="H32" s="23">
        <v>0.50352973542548629</v>
      </c>
      <c r="I32" s="13"/>
    </row>
    <row r="33" spans="1:9" x14ac:dyDescent="0.2">
      <c r="A33" s="6">
        <v>30</v>
      </c>
      <c r="B33" s="6" t="s">
        <v>36</v>
      </c>
      <c r="C33" s="6" t="str">
        <f t="shared" si="1"/>
        <v>30. Malta</v>
      </c>
      <c r="D33" s="13">
        <v>0.35</v>
      </c>
      <c r="E33" s="13">
        <v>0</v>
      </c>
      <c r="F33" s="21">
        <v>0</v>
      </c>
      <c r="G33" s="21">
        <v>0.1308372224435444</v>
      </c>
      <c r="H33" s="23">
        <v>0.48083722244354438</v>
      </c>
      <c r="I33" s="13"/>
    </row>
    <row r="34" spans="1:9" x14ac:dyDescent="0.2">
      <c r="A34" s="6">
        <v>31</v>
      </c>
      <c r="B34" s="4" t="s">
        <v>19</v>
      </c>
      <c r="C34" s="6" t="str">
        <f t="shared" si="1"/>
        <v>31. Czech Republic</v>
      </c>
      <c r="D34" s="13">
        <v>0.22</v>
      </c>
      <c r="E34" s="13">
        <v>0.13500000000000001</v>
      </c>
      <c r="F34" s="21">
        <v>0</v>
      </c>
      <c r="G34" s="21">
        <v>0.12269956531409672</v>
      </c>
      <c r="H34" s="23">
        <v>0.47769956531409669</v>
      </c>
      <c r="I34" s="13"/>
    </row>
    <row r="35" spans="1:9" x14ac:dyDescent="0.2">
      <c r="A35" s="6">
        <v>32</v>
      </c>
      <c r="B35" s="6" t="s">
        <v>52</v>
      </c>
      <c r="C35" s="6" t="str">
        <f t="shared" si="1"/>
        <v>32. United States</v>
      </c>
      <c r="D35" s="13">
        <v>0.41478560867422376</v>
      </c>
      <c r="E35" s="13">
        <v>2.3164120256283886E-2</v>
      </c>
      <c r="F35" s="21">
        <v>1.4292755051749631E-2</v>
      </c>
      <c r="G35" s="21">
        <v>2.1044182742340795E-2</v>
      </c>
      <c r="H35" s="23">
        <v>0.47328666672459813</v>
      </c>
      <c r="I35" s="13"/>
    </row>
    <row r="36" spans="1:9" x14ac:dyDescent="0.2">
      <c r="A36" s="6">
        <v>33</v>
      </c>
      <c r="B36" s="6" t="s">
        <v>18</v>
      </c>
      <c r="C36" s="6" t="str">
        <f t="shared" si="1"/>
        <v>33. Cyprus</v>
      </c>
      <c r="D36" s="13">
        <v>0.35</v>
      </c>
      <c r="E36" s="13">
        <v>0</v>
      </c>
      <c r="F36" s="21">
        <v>0</v>
      </c>
      <c r="G36" s="21">
        <v>0.11604662502778715</v>
      </c>
      <c r="H36" s="23">
        <v>0.46604662502778715</v>
      </c>
      <c r="I36" s="13"/>
    </row>
    <row r="37" spans="1:9" x14ac:dyDescent="0.2">
      <c r="A37" s="6">
        <v>34</v>
      </c>
      <c r="B37" s="6" t="s">
        <v>49</v>
      </c>
      <c r="C37" s="6" t="str">
        <f t="shared" si="1"/>
        <v>34. Switzerland</v>
      </c>
      <c r="D37" s="13">
        <v>0.30280414201183431</v>
      </c>
      <c r="E37" s="13">
        <v>5.3254437869822487E-2</v>
      </c>
      <c r="F37" s="21">
        <v>5.3254437869822487E-2</v>
      </c>
      <c r="G37" s="21">
        <v>5.0850092158950033E-2</v>
      </c>
      <c r="H37" s="23">
        <v>0.46016310991042936</v>
      </c>
      <c r="I37" s="13"/>
    </row>
    <row r="38" spans="1:9" x14ac:dyDescent="0.2">
      <c r="A38" s="6">
        <v>35</v>
      </c>
      <c r="B38" s="6" t="s">
        <v>50</v>
      </c>
      <c r="C38" s="6" t="str">
        <f t="shared" si="1"/>
        <v>35. Turkey</v>
      </c>
      <c r="D38" s="13">
        <v>0.33970588235294114</v>
      </c>
      <c r="E38" s="13">
        <v>9.8039215686274508E-3</v>
      </c>
      <c r="F38" s="21">
        <v>1.9607843137254902E-2</v>
      </c>
      <c r="G38" s="21">
        <v>9.035640644048154E-2</v>
      </c>
      <c r="H38" s="23">
        <v>0.45947405349930504</v>
      </c>
      <c r="I38" s="13"/>
    </row>
    <row r="39" spans="1:9" x14ac:dyDescent="0.2">
      <c r="A39" s="6">
        <v>36</v>
      </c>
      <c r="B39" s="6" t="s">
        <v>16</v>
      </c>
      <c r="C39" s="6" t="str">
        <f t="shared" si="1"/>
        <v>36. Chile</v>
      </c>
      <c r="D39" s="13">
        <v>0.35492901419716055</v>
      </c>
      <c r="E39" s="13">
        <v>0</v>
      </c>
      <c r="F39" s="21">
        <v>1.9996000799840034E-4</v>
      </c>
      <c r="G39" s="21">
        <v>9.3717252177595495E-2</v>
      </c>
      <c r="H39" s="23">
        <v>0.44884622638275445</v>
      </c>
      <c r="I39" s="13"/>
    </row>
    <row r="40" spans="1:9" x14ac:dyDescent="0.2">
      <c r="A40" s="6">
        <v>37</v>
      </c>
      <c r="B40" s="6" t="s">
        <v>44</v>
      </c>
      <c r="C40" s="6" t="str">
        <f t="shared" si="1"/>
        <v>37. Slovakia</v>
      </c>
      <c r="D40" s="13">
        <v>0.21660649819494582</v>
      </c>
      <c r="E40" s="13">
        <v>3.6101083032490974E-2</v>
      </c>
      <c r="F40" s="21">
        <v>9.7472924187725629E-2</v>
      </c>
      <c r="G40" s="21">
        <v>9.648781501987988E-2</v>
      </c>
      <c r="H40" s="23">
        <v>0.44666832043504234</v>
      </c>
      <c r="I40" s="13"/>
    </row>
    <row r="41" spans="1:9" x14ac:dyDescent="0.2">
      <c r="A41" s="6">
        <v>38</v>
      </c>
      <c r="B41" s="6" t="s">
        <v>34</v>
      </c>
      <c r="C41" s="6" t="str">
        <f t="shared" si="1"/>
        <v>38. Lithuania</v>
      </c>
      <c r="D41" s="13">
        <v>0.27</v>
      </c>
      <c r="E41" s="13">
        <v>6.9800000000000001E-2</v>
      </c>
      <c r="F41" s="21">
        <v>0</v>
      </c>
      <c r="G41" s="21">
        <v>0.10471624326945372</v>
      </c>
      <c r="H41" s="23">
        <v>0.44451624326945371</v>
      </c>
      <c r="I41" s="13"/>
    </row>
    <row r="42" spans="1:9" x14ac:dyDescent="0.2">
      <c r="A42" s="6">
        <v>39</v>
      </c>
      <c r="B42" s="6" t="s">
        <v>39</v>
      </c>
      <c r="C42" s="6" t="str">
        <f t="shared" si="1"/>
        <v>39. New Zealand</v>
      </c>
      <c r="D42" s="13">
        <v>0.33</v>
      </c>
      <c r="E42" s="13">
        <v>0</v>
      </c>
      <c r="F42" s="21">
        <v>0</v>
      </c>
      <c r="G42" s="21">
        <v>0.1063620386429181</v>
      </c>
      <c r="H42" s="23">
        <v>0.43636203864291812</v>
      </c>
      <c r="I42" s="13"/>
    </row>
    <row r="43" spans="1:9" x14ac:dyDescent="0.2">
      <c r="A43" s="6">
        <v>40</v>
      </c>
      <c r="B43" s="6" t="s">
        <v>37</v>
      </c>
      <c r="C43" s="6" t="str">
        <f t="shared" si="1"/>
        <v>40. Mexico</v>
      </c>
      <c r="D43" s="13">
        <v>0.34149673138842812</v>
      </c>
      <c r="E43" s="13">
        <v>0</v>
      </c>
      <c r="F43" s="21">
        <v>2.4295053175919602E-2</v>
      </c>
      <c r="G43" s="21">
        <v>5.5465242411211452E-2</v>
      </c>
      <c r="H43" s="23">
        <v>0.42125702697555917</v>
      </c>
      <c r="I43" s="13"/>
    </row>
    <row r="44" spans="1:9" x14ac:dyDescent="0.2">
      <c r="A44" s="6">
        <v>41</v>
      </c>
      <c r="B44" s="6" t="s">
        <v>14</v>
      </c>
      <c r="C44" s="6" t="str">
        <f t="shared" si="1"/>
        <v>41. Bulgaria</v>
      </c>
      <c r="D44" s="13">
        <v>0.1</v>
      </c>
      <c r="E44" s="13">
        <v>0</v>
      </c>
      <c r="F44" s="21">
        <v>0</v>
      </c>
      <c r="G44" s="21">
        <v>0.18833916212509505</v>
      </c>
      <c r="H44" s="23">
        <v>0.28833916212509503</v>
      </c>
      <c r="I44" s="13"/>
    </row>
  </sheetData>
  <sortState xmlns:xlrd2="http://schemas.microsoft.com/office/spreadsheetml/2017/richdata2" ref="A3:H44">
    <sortCondition ref="A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I21" sqref="I21"/>
    </sheetView>
  </sheetViews>
  <sheetFormatPr defaultRowHeight="12.75" x14ac:dyDescent="0.2"/>
  <cols>
    <col min="1" max="1" width="9.140625" style="6"/>
    <col min="2" max="2" width="9.140625" style="1"/>
    <col min="3" max="3" width="17.5703125" style="1" bestFit="1" customWidth="1"/>
    <col min="4" max="4" width="9.140625" style="1"/>
    <col min="6" max="7" width="9.140625" style="1"/>
    <col min="8" max="8" width="18" style="21" customWidth="1"/>
  </cols>
  <sheetData>
    <row r="1" spans="1:9" x14ac:dyDescent="0.2">
      <c r="D1" s="12" t="s">
        <v>80</v>
      </c>
    </row>
    <row r="2" spans="1:9" x14ac:dyDescent="0.2">
      <c r="A2" s="16" t="s">
        <v>54</v>
      </c>
      <c r="B2" s="2" t="s">
        <v>3</v>
      </c>
      <c r="C2" s="2" t="s">
        <v>79</v>
      </c>
      <c r="D2" s="2" t="s">
        <v>1</v>
      </c>
      <c r="E2" s="12" t="s">
        <v>2</v>
      </c>
      <c r="F2" s="2" t="s">
        <v>8</v>
      </c>
      <c r="G2" s="2" t="s">
        <v>78</v>
      </c>
      <c r="H2" s="22" t="s">
        <v>53</v>
      </c>
    </row>
    <row r="3" spans="1:9" x14ac:dyDescent="0.2">
      <c r="A3" s="6">
        <v>1</v>
      </c>
      <c r="B3" s="6" t="s">
        <v>48</v>
      </c>
      <c r="C3" s="6" t="str">
        <f t="shared" ref="C3:C19" si="0">A3 &amp; ". " &amp; B3</f>
        <v>1. Sweden</v>
      </c>
      <c r="D3" s="13">
        <v>0.45799726069091468</v>
      </c>
      <c r="E3" s="13">
        <v>0</v>
      </c>
      <c r="F3" s="21">
        <v>0.23908080961801853</v>
      </c>
      <c r="G3" s="21">
        <v>5.9957151259270751E-2</v>
      </c>
      <c r="H3" s="23">
        <v>0.75703522156820402</v>
      </c>
      <c r="I3" s="13"/>
    </row>
    <row r="4" spans="1:9" x14ac:dyDescent="0.2">
      <c r="A4" s="6">
        <v>2</v>
      </c>
      <c r="B4" s="6" t="s">
        <v>45</v>
      </c>
      <c r="C4" s="6" t="str">
        <f t="shared" si="0"/>
        <v>2. Slovenia</v>
      </c>
      <c r="D4" s="13">
        <v>0.33548664944013784</v>
      </c>
      <c r="E4" s="13">
        <v>0.19035314384151594</v>
      </c>
      <c r="F4" s="21">
        <v>0.13867355727820843</v>
      </c>
      <c r="G4" s="21">
        <v>6.8749197412530036E-2</v>
      </c>
      <c r="H4" s="23">
        <v>0.73326254797239221</v>
      </c>
      <c r="I4" s="13"/>
    </row>
    <row r="5" spans="1:9" x14ac:dyDescent="0.2">
      <c r="A5" s="6">
        <v>3</v>
      </c>
      <c r="B5" s="6" t="s">
        <v>13</v>
      </c>
      <c r="C5" s="6" t="str">
        <f t="shared" si="0"/>
        <v>3. Belgium</v>
      </c>
      <c r="D5" s="13">
        <v>0.36582671281365531</v>
      </c>
      <c r="E5" s="13">
        <v>0.10280814913867695</v>
      </c>
      <c r="F5" s="21">
        <v>0.21340360261150002</v>
      </c>
      <c r="G5" s="21">
        <v>4.6463003023215738E-2</v>
      </c>
      <c r="H5" s="23">
        <v>0.72850146758704792</v>
      </c>
      <c r="I5" s="13"/>
    </row>
    <row r="6" spans="1:9" x14ac:dyDescent="0.2">
      <c r="A6" s="6">
        <v>4</v>
      </c>
      <c r="B6" s="6" t="s">
        <v>42</v>
      </c>
      <c r="C6" s="6" t="str">
        <f t="shared" si="0"/>
        <v>4. Portugal</v>
      </c>
      <c r="D6" s="13">
        <v>0.38117171717171716</v>
      </c>
      <c r="E6" s="13">
        <v>8.8888888888888892E-2</v>
      </c>
      <c r="F6" s="21">
        <v>0.19191919191919191</v>
      </c>
      <c r="G6" s="21">
        <v>5.5728840137539162E-2</v>
      </c>
      <c r="H6" s="23">
        <v>0.71770863811733709</v>
      </c>
      <c r="I6" s="13"/>
    </row>
    <row r="7" spans="1:9" x14ac:dyDescent="0.2">
      <c r="A7" s="6">
        <v>5</v>
      </c>
      <c r="B7" s="4" t="s">
        <v>23</v>
      </c>
      <c r="C7" s="6" t="str">
        <f t="shared" si="0"/>
        <v>5. Finland</v>
      </c>
      <c r="D7" s="13">
        <v>0.3810671926635823</v>
      </c>
      <c r="E7" s="13">
        <v>8.0882352941176475E-2</v>
      </c>
      <c r="F7" s="21">
        <v>0.17382683410442831</v>
      </c>
      <c r="G7" s="21">
        <v>7.1576772501354829E-2</v>
      </c>
      <c r="H7" s="23">
        <v>0.70735315221054196</v>
      </c>
      <c r="I7" s="13"/>
    </row>
    <row r="8" spans="1:9" x14ac:dyDescent="0.2">
      <c r="A8" s="6">
        <v>6</v>
      </c>
      <c r="B8" s="6" t="s">
        <v>24</v>
      </c>
      <c r="C8" s="6" t="str">
        <f t="shared" si="0"/>
        <v>6. France</v>
      </c>
      <c r="D8" s="13">
        <v>0.37068557919621747</v>
      </c>
      <c r="E8" s="13">
        <v>8.2334719165240086E-2</v>
      </c>
      <c r="F8" s="21">
        <v>0.18480476074019728</v>
      </c>
      <c r="G8" s="21">
        <v>5.503409970439288E-2</v>
      </c>
      <c r="H8" s="23">
        <v>0.69285915880604776</v>
      </c>
      <c r="I8" s="13"/>
    </row>
    <row r="9" spans="1:9" x14ac:dyDescent="0.2">
      <c r="A9" s="6">
        <v>7</v>
      </c>
      <c r="B9" s="6" t="s">
        <v>21</v>
      </c>
      <c r="C9" s="6" t="str">
        <f t="shared" si="0"/>
        <v>7. Denmark</v>
      </c>
      <c r="D9" s="13">
        <v>0.47886000000000001</v>
      </c>
      <c r="E9" s="13">
        <v>0.08</v>
      </c>
      <c r="F9" s="21">
        <v>0</v>
      </c>
      <c r="G9" s="21">
        <v>0.10304212178201526</v>
      </c>
      <c r="H9" s="23">
        <v>0.66190212178201524</v>
      </c>
      <c r="I9" s="13"/>
    </row>
    <row r="10" spans="1:9" x14ac:dyDescent="0.2">
      <c r="A10" s="6">
        <v>8</v>
      </c>
      <c r="B10" s="6" t="s">
        <v>12</v>
      </c>
      <c r="C10" s="6" t="str">
        <f t="shared" si="0"/>
        <v>8. Austria</v>
      </c>
      <c r="D10" s="13">
        <v>0.51449953227315259</v>
      </c>
      <c r="E10" s="13">
        <v>0</v>
      </c>
      <c r="F10" s="21">
        <v>6.4546304957904588E-2</v>
      </c>
      <c r="G10" s="21">
        <v>6.8274056410903464E-2</v>
      </c>
      <c r="H10" s="23">
        <v>0.64731989364196052</v>
      </c>
      <c r="I10" s="13"/>
    </row>
    <row r="11" spans="1:9" x14ac:dyDescent="0.2">
      <c r="A11" s="6">
        <v>9</v>
      </c>
      <c r="B11" s="6" t="s">
        <v>29</v>
      </c>
      <c r="C11" s="6" t="str">
        <f t="shared" si="0"/>
        <v>9. Ireland</v>
      </c>
      <c r="D11" s="13">
        <v>0.43262730959891849</v>
      </c>
      <c r="E11" s="13">
        <v>3.6052275799909869E-2</v>
      </c>
      <c r="F11" s="21">
        <v>9.869310500225327E-2</v>
      </c>
      <c r="G11" s="21">
        <v>7.6110782852848294E-2</v>
      </c>
      <c r="H11" s="23">
        <v>0.64348347325392996</v>
      </c>
      <c r="I11" s="13"/>
    </row>
    <row r="12" spans="1:9" x14ac:dyDescent="0.2">
      <c r="A12" s="6">
        <v>10</v>
      </c>
      <c r="B12" s="6" t="s">
        <v>17</v>
      </c>
      <c r="C12" s="6" t="str">
        <f t="shared" si="0"/>
        <v>10. Croatia</v>
      </c>
      <c r="D12" s="13">
        <v>0.36463519313304715</v>
      </c>
      <c r="E12" s="13">
        <v>0</v>
      </c>
      <c r="F12" s="21">
        <v>0.14163090128755365</v>
      </c>
      <c r="G12" s="21">
        <v>0.13346513472632168</v>
      </c>
      <c r="H12" s="23">
        <v>0.63973122914692249</v>
      </c>
      <c r="I12" s="13"/>
    </row>
    <row r="13" spans="1:9" x14ac:dyDescent="0.2">
      <c r="A13" s="6">
        <v>11</v>
      </c>
      <c r="B13" s="6" t="s">
        <v>40</v>
      </c>
      <c r="C13" s="6" t="str">
        <f t="shared" si="0"/>
        <v>11. Norway</v>
      </c>
      <c r="D13" s="13">
        <v>0.33805309734513278</v>
      </c>
      <c r="E13" s="13">
        <v>7.2566371681415942E-2</v>
      </c>
      <c r="F13" s="21">
        <v>0.11504424778761063</v>
      </c>
      <c r="G13" s="21">
        <v>9.7492254263905703E-2</v>
      </c>
      <c r="H13" s="23">
        <v>0.62315597107806509</v>
      </c>
      <c r="I13" s="13"/>
    </row>
    <row r="14" spans="1:9" x14ac:dyDescent="0.2">
      <c r="A14" s="6">
        <v>12</v>
      </c>
      <c r="B14" s="6" t="s">
        <v>26</v>
      </c>
      <c r="C14" s="6" t="str">
        <f t="shared" si="0"/>
        <v>12. Greece</v>
      </c>
      <c r="D14" s="13">
        <v>0.55000000000000004</v>
      </c>
      <c r="E14" s="13">
        <v>0</v>
      </c>
      <c r="F14" s="21">
        <v>0</v>
      </c>
      <c r="G14" s="21">
        <v>7.1842603085850845E-2</v>
      </c>
      <c r="H14" s="23">
        <v>0.62184260308585093</v>
      </c>
      <c r="I14" s="13"/>
    </row>
    <row r="15" spans="1:9" x14ac:dyDescent="0.2">
      <c r="A15" s="6">
        <v>13</v>
      </c>
      <c r="B15" s="6" t="s">
        <v>38</v>
      </c>
      <c r="C15" s="6" t="str">
        <f t="shared" si="0"/>
        <v>13. Netherlands</v>
      </c>
      <c r="D15" s="13">
        <v>0.51749999999999996</v>
      </c>
      <c r="E15" s="13">
        <v>0</v>
      </c>
      <c r="F15" s="21">
        <v>0</v>
      </c>
      <c r="G15" s="21">
        <v>7.5416656376914734E-2</v>
      </c>
      <c r="H15" s="23">
        <v>0.59291665637691471</v>
      </c>
      <c r="I15" s="13"/>
    </row>
    <row r="16" spans="1:9" x14ac:dyDescent="0.2">
      <c r="A16" s="6">
        <v>14</v>
      </c>
      <c r="B16" s="6" t="s">
        <v>35</v>
      </c>
      <c r="C16" s="6" t="str">
        <f t="shared" si="0"/>
        <v>14. Luxembourg</v>
      </c>
      <c r="D16" s="13">
        <v>0.45779999999999998</v>
      </c>
      <c r="E16" s="13">
        <v>1.4E-2</v>
      </c>
      <c r="F16" s="21">
        <v>0</v>
      </c>
      <c r="G16" s="21">
        <v>0.12003342537326885</v>
      </c>
      <c r="H16" s="23">
        <v>0.59183342537326888</v>
      </c>
      <c r="I16" s="13"/>
    </row>
    <row r="17" spans="1:9" x14ac:dyDescent="0.2">
      <c r="A17" s="6">
        <v>15</v>
      </c>
      <c r="B17" s="6" t="s">
        <v>51</v>
      </c>
      <c r="C17" s="6" t="str">
        <f t="shared" si="0"/>
        <v>15. United Kingdom</v>
      </c>
      <c r="D17" s="13">
        <v>0.39543057996485065</v>
      </c>
      <c r="E17" s="13">
        <v>1.7574692442882251E-2</v>
      </c>
      <c r="F17" s="21">
        <v>0.12126537785588755</v>
      </c>
      <c r="G17" s="21">
        <v>5.6758504642851683E-2</v>
      </c>
      <c r="H17" s="23">
        <v>0.59102915490647223</v>
      </c>
      <c r="I17" s="13"/>
    </row>
    <row r="18" spans="1:9" x14ac:dyDescent="0.2">
      <c r="A18" s="6">
        <v>16</v>
      </c>
      <c r="B18" s="6" t="s">
        <v>28</v>
      </c>
      <c r="C18" s="6" t="str">
        <f t="shared" si="0"/>
        <v>16. Iceland</v>
      </c>
      <c r="D18" s="13">
        <v>0.43275620028076744</v>
      </c>
      <c r="E18" s="13">
        <v>0</v>
      </c>
      <c r="F18" s="21">
        <v>6.4108563406644836E-2</v>
      </c>
      <c r="G18" s="21">
        <v>9.357759471888992E-2</v>
      </c>
      <c r="H18" s="23">
        <v>0.59044235840630221</v>
      </c>
      <c r="I18" s="13"/>
    </row>
    <row r="19" spans="1:9" x14ac:dyDescent="0.2">
      <c r="A19" s="6">
        <v>17</v>
      </c>
      <c r="B19" s="6" t="s">
        <v>27</v>
      </c>
      <c r="C19" s="6" t="str">
        <f t="shared" si="0"/>
        <v>17. Hungary</v>
      </c>
      <c r="D19" s="13">
        <v>0.1276595744680851</v>
      </c>
      <c r="E19" s="13">
        <v>0.1574468085106383</v>
      </c>
      <c r="F19" s="21">
        <v>0.14893617021276595</v>
      </c>
      <c r="G19" s="21">
        <v>0.13779995888035573</v>
      </c>
      <c r="H19" s="23">
        <v>0.57184251207184511</v>
      </c>
      <c r="I19" s="13"/>
    </row>
    <row r="20" spans="1:9" x14ac:dyDescent="0.2">
      <c r="A20" s="6">
        <v>18</v>
      </c>
      <c r="B20" s="6" t="s">
        <v>25</v>
      </c>
      <c r="C20" s="6" t="str">
        <f t="shared" ref="C20:C34" si="1">A20 &amp; ". " &amp; B20</f>
        <v>18. Germany</v>
      </c>
      <c r="D20" s="13">
        <v>0.47475000000000001</v>
      </c>
      <c r="E20" s="13">
        <v>0</v>
      </c>
      <c r="F20" s="21">
        <v>0</v>
      </c>
      <c r="G20" s="21">
        <v>7.2547570718223459E-2</v>
      </c>
      <c r="H20" s="23">
        <v>0.54729757071822349</v>
      </c>
      <c r="I20" s="13"/>
    </row>
    <row r="21" spans="1:9" x14ac:dyDescent="0.2">
      <c r="A21" s="6">
        <v>19</v>
      </c>
      <c r="B21" s="6" t="s">
        <v>22</v>
      </c>
      <c r="C21" s="6" t="str">
        <f t="shared" si="1"/>
        <v>19. Estonia</v>
      </c>
      <c r="D21" s="13">
        <v>0.14708520179372198</v>
      </c>
      <c r="E21" s="13">
        <v>1.195814648729447E-2</v>
      </c>
      <c r="F21" s="21">
        <v>0.25261584454409569</v>
      </c>
      <c r="G21" s="21">
        <v>0.13315265562946091</v>
      </c>
      <c r="H21" s="23">
        <v>0.54481184845457298</v>
      </c>
      <c r="I21" s="13"/>
    </row>
    <row r="22" spans="1:9" x14ac:dyDescent="0.2">
      <c r="A22" s="6">
        <v>20</v>
      </c>
      <c r="B22" s="6" t="s">
        <v>47</v>
      </c>
      <c r="C22" s="6" t="str">
        <f t="shared" si="1"/>
        <v>20. Spain</v>
      </c>
      <c r="D22" s="13">
        <v>0.4710588235294117</v>
      </c>
      <c r="E22" s="13">
        <v>0</v>
      </c>
      <c r="F22" s="21">
        <v>0</v>
      </c>
      <c r="G22" s="21">
        <v>6.9942402822264063E-2</v>
      </c>
      <c r="H22" s="23">
        <v>0.5410012263516758</v>
      </c>
      <c r="I22" s="13"/>
    </row>
    <row r="23" spans="1:9" x14ac:dyDescent="0.2">
      <c r="A23" s="6">
        <v>21</v>
      </c>
      <c r="B23" s="4" t="s">
        <v>31</v>
      </c>
      <c r="C23" s="6" t="str">
        <f t="shared" si="1"/>
        <v>21. Italy</v>
      </c>
      <c r="D23" s="13">
        <v>0.4723</v>
      </c>
      <c r="E23" s="13">
        <v>0</v>
      </c>
      <c r="F23" s="21">
        <v>0</v>
      </c>
      <c r="G23" s="21">
        <v>6.7888428776942636E-2</v>
      </c>
      <c r="H23" s="23">
        <v>0.54018842877694262</v>
      </c>
      <c r="I23" s="13"/>
    </row>
    <row r="24" spans="1:9" x14ac:dyDescent="0.2">
      <c r="A24" s="6">
        <v>22</v>
      </c>
      <c r="B24" s="6" t="s">
        <v>41</v>
      </c>
      <c r="C24" s="6" t="str">
        <f>A24 &amp; ". " &amp; B24</f>
        <v>22. Poland</v>
      </c>
      <c r="D24" s="13">
        <v>0.33829110875638185</v>
      </c>
      <c r="E24" s="13">
        <v>3.534341585589057E-2</v>
      </c>
      <c r="F24" s="21">
        <v>3.6701666506116948E-2</v>
      </c>
      <c r="G24" s="21">
        <v>0.10340423891110588</v>
      </c>
      <c r="H24" s="23">
        <v>0.51374043002949521</v>
      </c>
      <c r="I24" s="13"/>
    </row>
    <row r="25" spans="1:9" x14ac:dyDescent="0.2">
      <c r="A25" s="6">
        <v>23</v>
      </c>
      <c r="B25" s="6" t="s">
        <v>43</v>
      </c>
      <c r="C25" s="6" t="str">
        <f t="shared" si="1"/>
        <v>23. Romania</v>
      </c>
      <c r="D25" s="13">
        <v>6.3569682151589244E-2</v>
      </c>
      <c r="E25" s="13">
        <v>0.34229828850855742</v>
      </c>
      <c r="F25" s="21">
        <v>2.2004889975550123E-2</v>
      </c>
      <c r="G25" s="21">
        <v>7.5061793625155623E-2</v>
      </c>
      <c r="H25" s="23">
        <v>0.50293465426085238</v>
      </c>
      <c r="I25" s="13"/>
    </row>
    <row r="26" spans="1:9" x14ac:dyDescent="0.2">
      <c r="A26" s="6">
        <v>24</v>
      </c>
      <c r="B26" s="6" t="s">
        <v>33</v>
      </c>
      <c r="C26" s="6" t="str">
        <f t="shared" si="1"/>
        <v>24. Latvia</v>
      </c>
      <c r="D26" s="13">
        <v>0.27484716157205236</v>
      </c>
      <c r="E26" s="13">
        <v>0</v>
      </c>
      <c r="F26" s="21">
        <v>0.12663755458515283</v>
      </c>
      <c r="G26" s="21">
        <v>0.10204501926828112</v>
      </c>
      <c r="H26" s="23">
        <v>0.50352973542548629</v>
      </c>
      <c r="I26" s="13"/>
    </row>
    <row r="27" spans="1:9" x14ac:dyDescent="0.2">
      <c r="A27" s="6">
        <v>25</v>
      </c>
      <c r="B27" s="6" t="s">
        <v>36</v>
      </c>
      <c r="C27" s="6" t="str">
        <f t="shared" si="1"/>
        <v>25. Malta</v>
      </c>
      <c r="D27" s="13">
        <v>0.35</v>
      </c>
      <c r="E27" s="13">
        <v>0</v>
      </c>
      <c r="F27" s="21">
        <v>0</v>
      </c>
      <c r="G27" s="21">
        <v>0.1308372224435444</v>
      </c>
      <c r="H27" s="23">
        <v>0.48083722244354438</v>
      </c>
      <c r="I27" s="13"/>
    </row>
    <row r="28" spans="1:9" x14ac:dyDescent="0.2">
      <c r="A28" s="6">
        <v>26</v>
      </c>
      <c r="B28" s="4" t="s">
        <v>19</v>
      </c>
      <c r="C28" s="6" t="str">
        <f t="shared" si="1"/>
        <v>26. Czech Republic</v>
      </c>
      <c r="D28" s="13">
        <v>0.22</v>
      </c>
      <c r="E28" s="13">
        <v>0.13500000000000001</v>
      </c>
      <c r="F28" s="21">
        <v>0</v>
      </c>
      <c r="G28" s="21">
        <v>0.12269956531409672</v>
      </c>
      <c r="H28" s="23">
        <v>0.47769956531409669</v>
      </c>
      <c r="I28" s="13"/>
    </row>
    <row r="29" spans="1:9" x14ac:dyDescent="0.2">
      <c r="A29" s="6">
        <v>27</v>
      </c>
      <c r="B29" s="6" t="s">
        <v>18</v>
      </c>
      <c r="C29" s="6" t="str">
        <f t="shared" si="1"/>
        <v>27. Cyprus</v>
      </c>
      <c r="D29" s="13">
        <v>0.35</v>
      </c>
      <c r="E29" s="13">
        <v>0</v>
      </c>
      <c r="F29" s="21">
        <v>0</v>
      </c>
      <c r="G29" s="21">
        <v>0.11604662502778715</v>
      </c>
      <c r="H29" s="23">
        <v>0.46604662502778715</v>
      </c>
      <c r="I29" s="13"/>
    </row>
    <row r="30" spans="1:9" x14ac:dyDescent="0.2">
      <c r="A30" s="6">
        <v>28</v>
      </c>
      <c r="B30" s="6" t="s">
        <v>49</v>
      </c>
      <c r="C30" s="6" t="str">
        <f t="shared" si="1"/>
        <v>28. Switzerland</v>
      </c>
      <c r="D30" s="13">
        <v>0.30280414201183431</v>
      </c>
      <c r="E30" s="13">
        <v>5.3254437869822487E-2</v>
      </c>
      <c r="F30" s="21">
        <v>5.3254437869822487E-2</v>
      </c>
      <c r="G30" s="21">
        <v>5.0850092158950033E-2</v>
      </c>
      <c r="H30" s="23">
        <v>0.46016310991042936</v>
      </c>
      <c r="I30" s="13"/>
    </row>
    <row r="31" spans="1:9" x14ac:dyDescent="0.2">
      <c r="A31" s="6">
        <v>29</v>
      </c>
      <c r="B31" s="6" t="s">
        <v>50</v>
      </c>
      <c r="C31" s="6" t="str">
        <f t="shared" si="1"/>
        <v>29. Turkey</v>
      </c>
      <c r="D31" s="13">
        <v>0.33970588235294114</v>
      </c>
      <c r="E31" s="13">
        <v>9.8039215686274508E-3</v>
      </c>
      <c r="F31" s="21">
        <v>1.9607843137254902E-2</v>
      </c>
      <c r="G31" s="21">
        <v>9.035640644048154E-2</v>
      </c>
      <c r="H31" s="23">
        <v>0.45947405349930504</v>
      </c>
      <c r="I31" s="13"/>
    </row>
    <row r="32" spans="1:9" x14ac:dyDescent="0.2">
      <c r="A32" s="6">
        <v>30</v>
      </c>
      <c r="B32" s="6" t="s">
        <v>44</v>
      </c>
      <c r="C32" s="6" t="str">
        <f t="shared" si="1"/>
        <v>30. Slovakia</v>
      </c>
      <c r="D32" s="13">
        <v>0.21660649819494582</v>
      </c>
      <c r="E32" s="13">
        <v>3.6101083032490974E-2</v>
      </c>
      <c r="F32" s="21">
        <v>9.7472924187725629E-2</v>
      </c>
      <c r="G32" s="21">
        <v>9.648781501987988E-2</v>
      </c>
      <c r="H32" s="23">
        <v>0.44666832043504234</v>
      </c>
      <c r="I32" s="13"/>
    </row>
    <row r="33" spans="1:9" x14ac:dyDescent="0.2">
      <c r="A33" s="6">
        <v>31</v>
      </c>
      <c r="B33" s="6" t="s">
        <v>34</v>
      </c>
      <c r="C33" s="6" t="str">
        <f t="shared" si="1"/>
        <v>31. Lithuania</v>
      </c>
      <c r="D33" s="13">
        <v>0.27</v>
      </c>
      <c r="E33" s="13">
        <v>6.9800000000000001E-2</v>
      </c>
      <c r="F33" s="21">
        <v>0</v>
      </c>
      <c r="G33" s="21">
        <v>0.10471624326945372</v>
      </c>
      <c r="H33" s="23">
        <v>0.44451624326945371</v>
      </c>
      <c r="I33" s="13"/>
    </row>
    <row r="34" spans="1:9" x14ac:dyDescent="0.2">
      <c r="A34" s="6">
        <v>32</v>
      </c>
      <c r="B34" s="6" t="s">
        <v>14</v>
      </c>
      <c r="C34" s="6" t="str">
        <f t="shared" si="1"/>
        <v>32. Bulgaria</v>
      </c>
      <c r="D34" s="13">
        <v>0.1</v>
      </c>
      <c r="E34" s="13">
        <v>0</v>
      </c>
      <c r="F34" s="21">
        <v>0</v>
      </c>
      <c r="G34" s="21">
        <v>0.18833916212509505</v>
      </c>
      <c r="H34" s="23">
        <v>0.28833916212509503</v>
      </c>
      <c r="I34" s="1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workbookViewId="0">
      <selection activeCell="V31" sqref="V31"/>
    </sheetView>
  </sheetViews>
  <sheetFormatPr defaultRowHeight="12.75" x14ac:dyDescent="0.2"/>
  <cols>
    <col min="1" max="1" width="9.140625" style="6"/>
    <col min="2" max="2" width="9.140625" style="1"/>
    <col min="3" max="3" width="17.5703125" style="1" bestFit="1" customWidth="1"/>
    <col min="4" max="4" width="9.140625" style="1"/>
    <col min="6" max="7" width="9.140625" style="1"/>
    <col min="8" max="8" width="18" style="21" customWidth="1"/>
  </cols>
  <sheetData>
    <row r="1" spans="1:9" x14ac:dyDescent="0.2">
      <c r="D1" s="12" t="s">
        <v>80</v>
      </c>
    </row>
    <row r="2" spans="1:9" x14ac:dyDescent="0.2">
      <c r="A2" s="16" t="s">
        <v>54</v>
      </c>
      <c r="B2" s="2" t="s">
        <v>3</v>
      </c>
      <c r="C2" s="2" t="s">
        <v>79</v>
      </c>
      <c r="D2" s="2" t="s">
        <v>1</v>
      </c>
      <c r="E2" s="12" t="s">
        <v>2</v>
      </c>
      <c r="F2" s="2" t="s">
        <v>8</v>
      </c>
      <c r="G2" s="2" t="s">
        <v>78</v>
      </c>
      <c r="H2" s="22" t="s">
        <v>53</v>
      </c>
    </row>
    <row r="3" spans="1:9" x14ac:dyDescent="0.2">
      <c r="A3" s="6">
        <v>1</v>
      </c>
      <c r="B3" s="6" t="s">
        <v>48</v>
      </c>
      <c r="C3" s="6" t="str">
        <f t="shared" ref="C3:C30" si="0">A3 &amp; ". " &amp; B3</f>
        <v>1. Sweden</v>
      </c>
      <c r="D3" s="13">
        <v>0.45799726069091468</v>
      </c>
      <c r="E3" s="13">
        <v>0</v>
      </c>
      <c r="F3" s="21">
        <v>0.23908080961801853</v>
      </c>
      <c r="G3" s="21">
        <v>5.9957151259270751E-2</v>
      </c>
      <c r="H3" s="23">
        <v>0.75703522156820402</v>
      </c>
      <c r="I3" s="13"/>
    </row>
    <row r="4" spans="1:9" x14ac:dyDescent="0.2">
      <c r="A4" s="6">
        <v>2</v>
      </c>
      <c r="B4" s="6" t="s">
        <v>45</v>
      </c>
      <c r="C4" s="6" t="str">
        <f t="shared" si="0"/>
        <v>2. Slovenia</v>
      </c>
      <c r="D4" s="13">
        <v>0.33548664944013784</v>
      </c>
      <c r="E4" s="13">
        <v>0.19035314384151594</v>
      </c>
      <c r="F4" s="21">
        <v>0.13867355727820843</v>
      </c>
      <c r="G4" s="21">
        <v>6.8749197412530036E-2</v>
      </c>
      <c r="H4" s="23">
        <v>0.73326254797239221</v>
      </c>
      <c r="I4" s="13"/>
    </row>
    <row r="5" spans="1:9" x14ac:dyDescent="0.2">
      <c r="A5" s="6">
        <v>3</v>
      </c>
      <c r="B5" s="6" t="s">
        <v>13</v>
      </c>
      <c r="C5" s="6" t="str">
        <f t="shared" si="0"/>
        <v>3. Belgium</v>
      </c>
      <c r="D5" s="13">
        <v>0.36582671281365531</v>
      </c>
      <c r="E5" s="13">
        <v>0.10280814913867695</v>
      </c>
      <c r="F5" s="21">
        <v>0.21340360261150002</v>
      </c>
      <c r="G5" s="21">
        <v>4.6463003023215738E-2</v>
      </c>
      <c r="H5" s="23">
        <v>0.72850146758704792</v>
      </c>
      <c r="I5" s="13"/>
    </row>
    <row r="6" spans="1:9" x14ac:dyDescent="0.2">
      <c r="A6" s="6">
        <v>4</v>
      </c>
      <c r="B6" s="6" t="s">
        <v>42</v>
      </c>
      <c r="C6" s="6" t="str">
        <f t="shared" si="0"/>
        <v>4. Portugal</v>
      </c>
      <c r="D6" s="13">
        <v>0.38117171717171716</v>
      </c>
      <c r="E6" s="13">
        <v>8.8888888888888892E-2</v>
      </c>
      <c r="F6" s="21">
        <v>0.19191919191919191</v>
      </c>
      <c r="G6" s="21">
        <v>5.5728840137539162E-2</v>
      </c>
      <c r="H6" s="23">
        <v>0.71770863811733709</v>
      </c>
      <c r="I6" s="13"/>
    </row>
    <row r="7" spans="1:9" x14ac:dyDescent="0.2">
      <c r="A7" s="6">
        <v>5</v>
      </c>
      <c r="B7" s="4" t="s">
        <v>23</v>
      </c>
      <c r="C7" s="6" t="str">
        <f t="shared" si="0"/>
        <v>5. Finland</v>
      </c>
      <c r="D7" s="13">
        <v>0.3810671926635823</v>
      </c>
      <c r="E7" s="13">
        <v>8.0882352941176475E-2</v>
      </c>
      <c r="F7" s="21">
        <v>0.17382683410442831</v>
      </c>
      <c r="G7" s="21">
        <v>7.1576772501354829E-2</v>
      </c>
      <c r="H7" s="23">
        <v>0.70735315221054196</v>
      </c>
      <c r="I7" s="13"/>
    </row>
    <row r="8" spans="1:9" x14ac:dyDescent="0.2">
      <c r="A8" s="6">
        <v>6</v>
      </c>
      <c r="B8" s="6" t="s">
        <v>24</v>
      </c>
      <c r="C8" s="6" t="str">
        <f t="shared" si="0"/>
        <v>6. France</v>
      </c>
      <c r="D8" s="13">
        <v>0.37068557919621747</v>
      </c>
      <c r="E8" s="13">
        <v>8.2334719165240086E-2</v>
      </c>
      <c r="F8" s="21">
        <v>0.18480476074019728</v>
      </c>
      <c r="G8" s="21">
        <v>5.503409970439288E-2</v>
      </c>
      <c r="H8" s="23">
        <v>0.69285915880604776</v>
      </c>
      <c r="I8" s="13"/>
    </row>
    <row r="9" spans="1:9" x14ac:dyDescent="0.2">
      <c r="A9" s="6">
        <v>7</v>
      </c>
      <c r="B9" s="6" t="s">
        <v>21</v>
      </c>
      <c r="C9" s="6" t="str">
        <f t="shared" si="0"/>
        <v>7. Denmark</v>
      </c>
      <c r="D9" s="13">
        <v>0.47886000000000001</v>
      </c>
      <c r="E9" s="13">
        <v>0.08</v>
      </c>
      <c r="F9" s="21">
        <v>0</v>
      </c>
      <c r="G9" s="21">
        <v>0.10304212178201526</v>
      </c>
      <c r="H9" s="23">
        <v>0.66190212178201524</v>
      </c>
      <c r="I9" s="13"/>
    </row>
    <row r="10" spans="1:9" x14ac:dyDescent="0.2">
      <c r="A10" s="6">
        <v>8</v>
      </c>
      <c r="B10" s="6" t="s">
        <v>12</v>
      </c>
      <c r="C10" s="6" t="str">
        <f t="shared" si="0"/>
        <v>8. Austria</v>
      </c>
      <c r="D10" s="13">
        <v>0.51449953227315259</v>
      </c>
      <c r="E10" s="13">
        <v>0</v>
      </c>
      <c r="F10" s="21">
        <v>6.4546304957904588E-2</v>
      </c>
      <c r="G10" s="21">
        <v>6.8274056410903464E-2</v>
      </c>
      <c r="H10" s="23">
        <v>0.64731989364196052</v>
      </c>
      <c r="I10" s="13"/>
    </row>
    <row r="11" spans="1:9" x14ac:dyDescent="0.2">
      <c r="A11" s="6">
        <v>9</v>
      </c>
      <c r="B11" s="6" t="s">
        <v>29</v>
      </c>
      <c r="C11" s="6" t="str">
        <f t="shared" si="0"/>
        <v>9. Ireland</v>
      </c>
      <c r="D11" s="13">
        <v>0.43262730959891849</v>
      </c>
      <c r="E11" s="13">
        <v>3.6052275799909869E-2</v>
      </c>
      <c r="F11" s="21">
        <v>9.869310500225327E-2</v>
      </c>
      <c r="G11" s="21">
        <v>7.6110782852848294E-2</v>
      </c>
      <c r="H11" s="23">
        <v>0.64348347325392996</v>
      </c>
      <c r="I11" s="13"/>
    </row>
    <row r="12" spans="1:9" x14ac:dyDescent="0.2">
      <c r="A12" s="6">
        <v>10</v>
      </c>
      <c r="B12" s="6" t="s">
        <v>17</v>
      </c>
      <c r="C12" s="6" t="str">
        <f t="shared" si="0"/>
        <v>10. Croatia</v>
      </c>
      <c r="D12" s="13">
        <v>0.36463519313304715</v>
      </c>
      <c r="E12" s="13">
        <v>0</v>
      </c>
      <c r="F12" s="21">
        <v>0.14163090128755365</v>
      </c>
      <c r="G12" s="21">
        <v>0.13346513472632168</v>
      </c>
      <c r="H12" s="23">
        <v>0.63973122914692249</v>
      </c>
      <c r="I12" s="13"/>
    </row>
    <row r="13" spans="1:9" x14ac:dyDescent="0.2">
      <c r="A13" s="6">
        <v>11</v>
      </c>
      <c r="B13" s="6" t="s">
        <v>26</v>
      </c>
      <c r="C13" s="6" t="str">
        <f t="shared" si="0"/>
        <v>11. Greece</v>
      </c>
      <c r="D13" s="13">
        <v>0.55000000000000004</v>
      </c>
      <c r="E13" s="13">
        <v>0</v>
      </c>
      <c r="F13" s="21">
        <v>0</v>
      </c>
      <c r="G13" s="21">
        <v>7.1842603085850845E-2</v>
      </c>
      <c r="H13" s="23">
        <v>0.62184260308585093</v>
      </c>
      <c r="I13" s="13"/>
    </row>
    <row r="14" spans="1:9" x14ac:dyDescent="0.2">
      <c r="A14" s="6">
        <v>12</v>
      </c>
      <c r="B14" s="6" t="s">
        <v>38</v>
      </c>
      <c r="C14" s="6" t="str">
        <f t="shared" si="0"/>
        <v>12. Netherlands</v>
      </c>
      <c r="D14" s="13">
        <v>0.51749999999999996</v>
      </c>
      <c r="E14" s="13">
        <v>0</v>
      </c>
      <c r="F14" s="21">
        <v>0</v>
      </c>
      <c r="G14" s="21">
        <v>7.5416656376914734E-2</v>
      </c>
      <c r="H14" s="23">
        <v>0.59291665637691471</v>
      </c>
      <c r="I14" s="13"/>
    </row>
    <row r="15" spans="1:9" x14ac:dyDescent="0.2">
      <c r="A15" s="6">
        <v>13</v>
      </c>
      <c r="B15" s="6" t="s">
        <v>35</v>
      </c>
      <c r="C15" s="6" t="str">
        <f t="shared" si="0"/>
        <v>13. Luxembourg</v>
      </c>
      <c r="D15" s="13">
        <v>0.45779999999999998</v>
      </c>
      <c r="E15" s="13">
        <v>1.4E-2</v>
      </c>
      <c r="F15" s="21">
        <v>0</v>
      </c>
      <c r="G15" s="21">
        <v>0.12003342537326885</v>
      </c>
      <c r="H15" s="23">
        <v>0.59183342537326888</v>
      </c>
      <c r="I15" s="13"/>
    </row>
    <row r="16" spans="1:9" x14ac:dyDescent="0.2">
      <c r="A16" s="6">
        <v>14</v>
      </c>
      <c r="B16" s="6" t="s">
        <v>51</v>
      </c>
      <c r="C16" s="6" t="str">
        <f t="shared" si="0"/>
        <v>14. United Kingdom</v>
      </c>
      <c r="D16" s="13">
        <v>0.39543057996485065</v>
      </c>
      <c r="E16" s="13">
        <v>1.7574692442882251E-2</v>
      </c>
      <c r="F16" s="21">
        <v>0.12126537785588755</v>
      </c>
      <c r="G16" s="21">
        <v>5.6758504642851683E-2</v>
      </c>
      <c r="H16" s="23">
        <v>0.59102915490647223</v>
      </c>
      <c r="I16" s="13"/>
    </row>
    <row r="17" spans="1:9" x14ac:dyDescent="0.2">
      <c r="A17" s="6">
        <v>15</v>
      </c>
      <c r="B17" s="6" t="s">
        <v>27</v>
      </c>
      <c r="C17" s="6" t="str">
        <f t="shared" si="0"/>
        <v>15. Hungary</v>
      </c>
      <c r="D17" s="13">
        <v>0.1276595744680851</v>
      </c>
      <c r="E17" s="13">
        <v>0.1574468085106383</v>
      </c>
      <c r="F17" s="21">
        <v>0.14893617021276595</v>
      </c>
      <c r="G17" s="21">
        <v>0.13779995888035573</v>
      </c>
      <c r="H17" s="23">
        <v>0.57184251207184511</v>
      </c>
      <c r="I17" s="13"/>
    </row>
    <row r="18" spans="1:9" x14ac:dyDescent="0.2">
      <c r="A18" s="6">
        <v>16</v>
      </c>
      <c r="B18" s="6" t="s">
        <v>25</v>
      </c>
      <c r="C18" s="6" t="str">
        <f t="shared" si="0"/>
        <v>16. Germany</v>
      </c>
      <c r="D18" s="13">
        <v>0.47475000000000001</v>
      </c>
      <c r="E18" s="13">
        <v>0</v>
      </c>
      <c r="F18" s="21">
        <v>0</v>
      </c>
      <c r="G18" s="21">
        <v>7.2547570718223459E-2</v>
      </c>
      <c r="H18" s="23">
        <v>0.54729757071822349</v>
      </c>
      <c r="I18" s="13"/>
    </row>
    <row r="19" spans="1:9" x14ac:dyDescent="0.2">
      <c r="A19" s="6">
        <v>17</v>
      </c>
      <c r="B19" s="6" t="s">
        <v>22</v>
      </c>
      <c r="C19" s="6" t="str">
        <f t="shared" si="0"/>
        <v>17. Estonia</v>
      </c>
      <c r="D19" s="13">
        <v>0.14708520179372198</v>
      </c>
      <c r="E19" s="13">
        <v>1.195814648729447E-2</v>
      </c>
      <c r="F19" s="21">
        <v>0.25261584454409569</v>
      </c>
      <c r="G19" s="21">
        <v>0.13315265562946091</v>
      </c>
      <c r="H19" s="23">
        <v>0.54481184845457298</v>
      </c>
      <c r="I19" s="13"/>
    </row>
    <row r="20" spans="1:9" x14ac:dyDescent="0.2">
      <c r="A20" s="6">
        <v>18</v>
      </c>
      <c r="B20" s="6" t="s">
        <v>47</v>
      </c>
      <c r="C20" s="6" t="str">
        <f t="shared" si="0"/>
        <v>18. Spain</v>
      </c>
      <c r="D20" s="13">
        <v>0.4710588235294117</v>
      </c>
      <c r="E20" s="13">
        <v>0</v>
      </c>
      <c r="F20" s="21">
        <v>0</v>
      </c>
      <c r="G20" s="21">
        <v>6.9942402822264063E-2</v>
      </c>
      <c r="H20" s="23">
        <v>0.5410012263516758</v>
      </c>
      <c r="I20" s="13"/>
    </row>
    <row r="21" spans="1:9" x14ac:dyDescent="0.2">
      <c r="A21" s="6">
        <v>19</v>
      </c>
      <c r="B21" s="4" t="s">
        <v>31</v>
      </c>
      <c r="C21" s="6" t="str">
        <f t="shared" si="0"/>
        <v>19. Italy</v>
      </c>
      <c r="D21" s="13">
        <v>0.4723</v>
      </c>
      <c r="E21" s="13">
        <v>0</v>
      </c>
      <c r="F21" s="21">
        <v>0</v>
      </c>
      <c r="G21" s="21">
        <v>6.7888428776942636E-2</v>
      </c>
      <c r="H21" s="23">
        <v>0.54018842877694262</v>
      </c>
      <c r="I21" s="13"/>
    </row>
    <row r="22" spans="1:9" x14ac:dyDescent="0.2">
      <c r="A22" s="6">
        <v>20</v>
      </c>
      <c r="B22" s="6" t="s">
        <v>41</v>
      </c>
      <c r="C22" s="6" t="str">
        <f>A22 &amp; ". " &amp; B22</f>
        <v>20. Poland</v>
      </c>
      <c r="D22" s="13">
        <v>0.33829110875638185</v>
      </c>
      <c r="E22" s="13">
        <v>3.534341585589057E-2</v>
      </c>
      <c r="F22" s="21">
        <v>3.6701666506116948E-2</v>
      </c>
      <c r="G22" s="21">
        <v>0.10340423891110588</v>
      </c>
      <c r="H22" s="23">
        <v>0.51374043002949521</v>
      </c>
      <c r="I22" s="13"/>
    </row>
    <row r="23" spans="1:9" x14ac:dyDescent="0.2">
      <c r="A23" s="6">
        <v>21</v>
      </c>
      <c r="B23" s="6" t="s">
        <v>43</v>
      </c>
      <c r="C23" s="6" t="str">
        <f t="shared" si="0"/>
        <v>21. Romania</v>
      </c>
      <c r="D23" s="13">
        <v>6.3569682151589244E-2</v>
      </c>
      <c r="E23" s="13">
        <v>0.34229828850855742</v>
      </c>
      <c r="F23" s="21">
        <v>2.2004889975550123E-2</v>
      </c>
      <c r="G23" s="21">
        <v>7.5061793625155623E-2</v>
      </c>
      <c r="H23" s="23">
        <v>0.50293465426085238</v>
      </c>
      <c r="I23" s="13"/>
    </row>
    <row r="24" spans="1:9" x14ac:dyDescent="0.2">
      <c r="A24" s="6">
        <v>22</v>
      </c>
      <c r="B24" s="6" t="s">
        <v>33</v>
      </c>
      <c r="C24" s="6" t="str">
        <f t="shared" si="0"/>
        <v>22. Latvia</v>
      </c>
      <c r="D24" s="13">
        <v>0.27484716157205236</v>
      </c>
      <c r="E24" s="13">
        <v>0</v>
      </c>
      <c r="F24" s="21">
        <v>0.12663755458515283</v>
      </c>
      <c r="G24" s="21">
        <v>0.10204501926828112</v>
      </c>
      <c r="H24" s="23">
        <v>0.50352973542548629</v>
      </c>
      <c r="I24" s="13"/>
    </row>
    <row r="25" spans="1:9" x14ac:dyDescent="0.2">
      <c r="A25" s="6">
        <v>23</v>
      </c>
      <c r="B25" s="6" t="s">
        <v>36</v>
      </c>
      <c r="C25" s="6" t="str">
        <f t="shared" si="0"/>
        <v>23. Malta</v>
      </c>
      <c r="D25" s="13">
        <v>0.35</v>
      </c>
      <c r="E25" s="13">
        <v>0</v>
      </c>
      <c r="F25" s="21">
        <v>0</v>
      </c>
      <c r="G25" s="21">
        <v>0.1308372224435444</v>
      </c>
      <c r="H25" s="23">
        <v>0.48083722244354438</v>
      </c>
      <c r="I25" s="13"/>
    </row>
    <row r="26" spans="1:9" x14ac:dyDescent="0.2">
      <c r="A26" s="6">
        <v>24</v>
      </c>
      <c r="B26" s="4" t="s">
        <v>19</v>
      </c>
      <c r="C26" s="6" t="str">
        <f t="shared" si="0"/>
        <v>24. Czech Republic</v>
      </c>
      <c r="D26" s="13">
        <v>0.22</v>
      </c>
      <c r="E26" s="13">
        <v>0.13500000000000001</v>
      </c>
      <c r="F26" s="21">
        <v>0</v>
      </c>
      <c r="G26" s="21">
        <v>0.12269956531409672</v>
      </c>
      <c r="H26" s="23">
        <v>0.47769956531409669</v>
      </c>
      <c r="I26" s="13"/>
    </row>
    <row r="27" spans="1:9" x14ac:dyDescent="0.2">
      <c r="A27" s="6">
        <v>25</v>
      </c>
      <c r="B27" s="6" t="s">
        <v>18</v>
      </c>
      <c r="C27" s="6" t="str">
        <f t="shared" si="0"/>
        <v>25. Cyprus</v>
      </c>
      <c r="D27" s="13">
        <v>0.35</v>
      </c>
      <c r="E27" s="13">
        <v>0</v>
      </c>
      <c r="F27" s="21">
        <v>0</v>
      </c>
      <c r="G27" s="21">
        <v>0.11604662502778715</v>
      </c>
      <c r="H27" s="23">
        <v>0.46604662502778715</v>
      </c>
      <c r="I27" s="13"/>
    </row>
    <row r="28" spans="1:9" x14ac:dyDescent="0.2">
      <c r="A28" s="6">
        <v>26</v>
      </c>
      <c r="B28" s="6" t="s">
        <v>44</v>
      </c>
      <c r="C28" s="6" t="str">
        <f t="shared" si="0"/>
        <v>26. Slovakia</v>
      </c>
      <c r="D28" s="13">
        <v>0.21660649819494582</v>
      </c>
      <c r="E28" s="13">
        <v>3.6101083032490974E-2</v>
      </c>
      <c r="F28" s="21">
        <v>9.7472924187725629E-2</v>
      </c>
      <c r="G28" s="21">
        <v>9.648781501987988E-2</v>
      </c>
      <c r="H28" s="23">
        <v>0.44666832043504234</v>
      </c>
      <c r="I28" s="13"/>
    </row>
    <row r="29" spans="1:9" x14ac:dyDescent="0.2">
      <c r="A29" s="6">
        <v>27</v>
      </c>
      <c r="B29" s="6" t="s">
        <v>34</v>
      </c>
      <c r="C29" s="6" t="str">
        <f t="shared" si="0"/>
        <v>27. Lithuania</v>
      </c>
      <c r="D29" s="13">
        <v>0.27</v>
      </c>
      <c r="E29" s="13">
        <v>6.9800000000000001E-2</v>
      </c>
      <c r="F29" s="21">
        <v>0</v>
      </c>
      <c r="G29" s="21">
        <v>0.10471624326945372</v>
      </c>
      <c r="H29" s="23">
        <v>0.44451624326945371</v>
      </c>
      <c r="I29" s="13"/>
    </row>
    <row r="30" spans="1:9" x14ac:dyDescent="0.2">
      <c r="A30" s="6">
        <v>28</v>
      </c>
      <c r="B30" s="6" t="s">
        <v>14</v>
      </c>
      <c r="C30" s="6" t="str">
        <f t="shared" si="0"/>
        <v>28. Bulgaria</v>
      </c>
      <c r="D30" s="13">
        <v>0.1</v>
      </c>
      <c r="E30" s="13">
        <v>0</v>
      </c>
      <c r="F30" s="21">
        <v>0</v>
      </c>
      <c r="G30" s="21">
        <v>0.18833916212509505</v>
      </c>
      <c r="H30" s="23">
        <v>0.28833916212509503</v>
      </c>
      <c r="I30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1048574"/>
  <sheetViews>
    <sheetView zoomScale="115" zoomScaleNormal="115" workbookViewId="0">
      <selection activeCell="D38" sqref="D38"/>
    </sheetView>
  </sheetViews>
  <sheetFormatPr defaultRowHeight="12.75" x14ac:dyDescent="0.2"/>
  <cols>
    <col min="1" max="1" width="16.85546875" customWidth="1"/>
    <col min="2" max="2" width="12.5703125" bestFit="1" customWidth="1"/>
    <col min="4" max="4" width="10.28515625" customWidth="1"/>
    <col min="6" max="6" width="18.42578125" customWidth="1"/>
    <col min="9" max="9" width="10.28515625" customWidth="1"/>
    <col min="11" max="11" width="18.85546875" customWidth="1"/>
    <col min="12" max="12" width="10.42578125" customWidth="1"/>
    <col min="14" max="14" width="10.28515625" customWidth="1"/>
    <col min="15" max="15" width="10.140625" customWidth="1"/>
    <col min="16" max="16" width="18.140625" customWidth="1"/>
    <col min="17" max="17" width="13.7109375" customWidth="1"/>
    <col min="18" max="18" width="11.42578125" customWidth="1"/>
    <col min="19" max="19" width="10.28515625" customWidth="1"/>
  </cols>
  <sheetData>
    <row r="2" spans="1:19" x14ac:dyDescent="0.2">
      <c r="A2" s="12" t="s">
        <v>87</v>
      </c>
      <c r="B2" s="12" t="s">
        <v>59</v>
      </c>
      <c r="C2" s="12" t="s">
        <v>70</v>
      </c>
      <c r="D2" s="12" t="s">
        <v>56</v>
      </c>
      <c r="E2" s="12"/>
      <c r="F2" s="12" t="s">
        <v>61</v>
      </c>
      <c r="G2" s="12" t="s">
        <v>59</v>
      </c>
      <c r="H2" s="12" t="s">
        <v>70</v>
      </c>
      <c r="I2" s="12" t="s">
        <v>56</v>
      </c>
      <c r="J2" s="12"/>
      <c r="K2" s="12" t="s">
        <v>62</v>
      </c>
      <c r="L2" s="12" t="s">
        <v>59</v>
      </c>
      <c r="M2" s="12" t="s">
        <v>70</v>
      </c>
      <c r="N2" s="12" t="s">
        <v>56</v>
      </c>
      <c r="O2" s="12" t="s">
        <v>58</v>
      </c>
      <c r="P2" s="12" t="s">
        <v>63</v>
      </c>
      <c r="Q2" s="12" t="s">
        <v>59</v>
      </c>
      <c r="R2" s="12" t="s">
        <v>70</v>
      </c>
      <c r="S2" s="12" t="s">
        <v>56</v>
      </c>
    </row>
    <row r="3" spans="1:19" x14ac:dyDescent="0.2">
      <c r="A3" s="12" t="s">
        <v>14</v>
      </c>
      <c r="B3" s="35">
        <f>('Tax rates'!I7)</f>
        <v>0.28833916212509503</v>
      </c>
      <c r="C3" s="11"/>
      <c r="D3" s="11"/>
      <c r="F3" s="12" t="s">
        <v>21</v>
      </c>
      <c r="G3" s="13">
        <f>('Tax rates'!I13)</f>
        <v>0.66190212178201524</v>
      </c>
      <c r="H3" s="13">
        <f>('Tax rates'!R13)</f>
        <v>0.66229553032864064</v>
      </c>
      <c r="I3" s="13">
        <f>('Tax rates'!S13)</f>
        <v>-3.9340854662539559E-4</v>
      </c>
      <c r="K3" s="12" t="s">
        <v>26</v>
      </c>
      <c r="L3" s="13">
        <f>('Tax rates'!I18)</f>
        <v>0.62184260308585093</v>
      </c>
      <c r="M3" s="13">
        <f>('Tax rates'!R18)</f>
        <v>0.52735456960901483</v>
      </c>
      <c r="N3" s="13">
        <f>('Tax rates'!S18)</f>
        <v>9.4488033476836097E-2</v>
      </c>
      <c r="O3" s="13"/>
      <c r="P3" s="12" t="s">
        <v>12</v>
      </c>
      <c r="Q3" s="13">
        <f>('Tax rates'!I5)</f>
        <v>0.64731989364196052</v>
      </c>
      <c r="R3" s="13">
        <f>('Tax rates'!R5)</f>
        <v>0.63281082983236647</v>
      </c>
      <c r="S3" s="13">
        <f>('Tax rates'!S5)</f>
        <v>1.4509063809594047E-2</v>
      </c>
    </row>
    <row r="4" spans="1:19" x14ac:dyDescent="0.2">
      <c r="A4" s="12" t="s">
        <v>19</v>
      </c>
      <c r="B4" s="36">
        <f>('Tax rates'!I12)</f>
        <v>0.47769956531409669</v>
      </c>
      <c r="C4" s="13">
        <f>('Tax rates'!R12)</f>
        <v>0.46146147455932279</v>
      </c>
      <c r="D4" s="13">
        <f>('Tax rates'!S12)</f>
        <v>1.6238090754773893E-2</v>
      </c>
      <c r="F4" s="12" t="s">
        <v>23</v>
      </c>
      <c r="G4" s="13">
        <f>('Tax rates'!I15)</f>
        <v>0.70735315221054196</v>
      </c>
      <c r="H4" s="13">
        <f>('Tax rates'!R15)</f>
        <v>0.71903128135578431</v>
      </c>
      <c r="I4" s="13">
        <f>('Tax rates'!S15)</f>
        <v>-1.1678129145242355E-2</v>
      </c>
      <c r="K4" s="12" t="s">
        <v>31</v>
      </c>
      <c r="L4" s="13">
        <f>('Tax rates'!I23)</f>
        <v>0.54018842877694262</v>
      </c>
      <c r="M4" s="13">
        <f>('Tax rates'!R23)</f>
        <v>0.55417358475978129</v>
      </c>
      <c r="N4" s="13">
        <f>('Tax rates'!S23)</f>
        <v>-1.3985155982838671E-2</v>
      </c>
      <c r="O4" s="13"/>
      <c r="P4" s="12" t="s">
        <v>13</v>
      </c>
      <c r="Q4" s="13">
        <f>('Tax rates'!I6)</f>
        <v>0.72850146758704792</v>
      </c>
      <c r="R4" s="13">
        <f>('Tax rates'!R6)</f>
        <v>0.73937756378924524</v>
      </c>
      <c r="S4" s="13">
        <f>('Tax rates'!S6)</f>
        <v>-1.0876096202197316E-2</v>
      </c>
    </row>
    <row r="5" spans="1:19" x14ac:dyDescent="0.2">
      <c r="A5" s="12" t="s">
        <v>27</v>
      </c>
      <c r="B5" s="36">
        <f>('Tax rates'!I19)</f>
        <v>0.57184251207184511</v>
      </c>
      <c r="C5" s="13">
        <f>('Tax rates'!R19)</f>
        <v>0.60479796703815802</v>
      </c>
      <c r="D5" s="13">
        <f>('Tax rates'!S19)</f>
        <v>-3.2955454966312914E-2</v>
      </c>
      <c r="F5" s="12" t="s">
        <v>28</v>
      </c>
      <c r="G5" s="13">
        <f>('Tax rates'!I20)</f>
        <v>0.59044235840630221</v>
      </c>
      <c r="K5" s="12" t="s">
        <v>42</v>
      </c>
      <c r="L5" s="13">
        <f>('Tax rates'!I34)</f>
        <v>0.71770863811733709</v>
      </c>
      <c r="M5" s="13">
        <f>('Tax rates'!R34)</f>
        <v>0.73561692109632015</v>
      </c>
      <c r="N5" s="13">
        <f>('Tax rates'!S34)</f>
        <v>-1.7908282978983059E-2</v>
      </c>
      <c r="O5" s="13"/>
      <c r="P5" s="12" t="s">
        <v>24</v>
      </c>
      <c r="Q5" s="13">
        <f>('Tax rates'!I16)</f>
        <v>0.69285915880604776</v>
      </c>
      <c r="R5" s="13">
        <f>('Tax rates'!R16)</f>
        <v>0.68564724268637767</v>
      </c>
      <c r="S5" s="13">
        <f>('Tax rates'!S16)</f>
        <v>7.2119161196700921E-3</v>
      </c>
    </row>
    <row r="6" spans="1:19" x14ac:dyDescent="0.2">
      <c r="A6" s="12" t="s">
        <v>41</v>
      </c>
      <c r="B6" s="36">
        <f>('Tax rates'!I33)</f>
        <v>0.51374043002949521</v>
      </c>
      <c r="C6" s="13">
        <f>('Tax rates'!R33)</f>
        <v>0.47246069751831254</v>
      </c>
      <c r="D6" s="13">
        <f>('Tax rates'!S33)</f>
        <v>4.1279732511182665E-2</v>
      </c>
      <c r="F6" s="12" t="s">
        <v>40</v>
      </c>
      <c r="G6" s="13">
        <f>('Tax rates'!I32)</f>
        <v>0.62315597107806509</v>
      </c>
      <c r="H6" s="13">
        <f>('Tax rates'!R32)</f>
        <v>0.63288450408921904</v>
      </c>
      <c r="I6" s="13">
        <f>('Tax rates'!S32)</f>
        <v>-9.7285330111539503E-3</v>
      </c>
      <c r="K6" s="12" t="s">
        <v>47</v>
      </c>
      <c r="L6" s="13">
        <f>('Tax rates'!I39)</f>
        <v>0.5410012263516758</v>
      </c>
      <c r="M6" s="13">
        <f>('Tax rates'!R39)</f>
        <v>0.51923026979184783</v>
      </c>
      <c r="N6" s="13">
        <f>('Tax rates'!S39)</f>
        <v>2.177095655982797E-2</v>
      </c>
      <c r="O6" s="13"/>
      <c r="P6" s="12" t="s">
        <v>25</v>
      </c>
      <c r="Q6" s="13">
        <f>('Tax rates'!I17)</f>
        <v>0.54729757071822349</v>
      </c>
      <c r="R6" s="13">
        <f>('Tax rates'!R17)</f>
        <v>0.54729800136627726</v>
      </c>
      <c r="S6" s="13">
        <f>('Tax rates'!S17)</f>
        <v>-4.3064805377301951E-7</v>
      </c>
    </row>
    <row r="7" spans="1:19" x14ac:dyDescent="0.2">
      <c r="A7" s="12" t="s">
        <v>43</v>
      </c>
      <c r="B7" s="36">
        <f>('Tax rates'!I35)</f>
        <v>0.50293465426085238</v>
      </c>
      <c r="C7" s="13"/>
      <c r="D7" s="13"/>
      <c r="F7" s="12" t="s">
        <v>48</v>
      </c>
      <c r="G7" s="13">
        <f>('Tax rates'!I40)</f>
        <v>0.75703522156820402</v>
      </c>
      <c r="H7" s="13">
        <f>('Tax rates'!R40)</f>
        <v>0.75361762039366997</v>
      </c>
      <c r="I7" s="13">
        <f>('Tax rates'!S40)</f>
        <v>3.4176011745340462E-3</v>
      </c>
      <c r="K7" s="12" t="s">
        <v>18</v>
      </c>
      <c r="L7" s="13">
        <f>('Tax rates'!I11)</f>
        <v>0.46604662502778715</v>
      </c>
      <c r="M7" s="13"/>
      <c r="N7" s="13"/>
      <c r="O7" s="13"/>
      <c r="P7" s="12" t="s">
        <v>35</v>
      </c>
      <c r="Q7" s="13">
        <f>('Tax rates'!I27)</f>
        <v>0.59183342537326888</v>
      </c>
      <c r="R7" s="13">
        <f>('Tax rates'!R27)</f>
        <v>0.58608383197763059</v>
      </c>
      <c r="S7" s="13">
        <f>('Tax rates'!S27)</f>
        <v>5.7495933956382972E-3</v>
      </c>
    </row>
    <row r="8" spans="1:19" x14ac:dyDescent="0.2">
      <c r="A8" s="12" t="s">
        <v>44</v>
      </c>
      <c r="B8" s="36">
        <f>('Tax rates'!I36)</f>
        <v>0.44666832043504234</v>
      </c>
      <c r="C8" s="13">
        <f>('Tax rates'!R36)</f>
        <v>0.36014057580001668</v>
      </c>
      <c r="D8" s="13">
        <f>('Tax rates'!S36)</f>
        <v>8.6527744635025661E-2</v>
      </c>
      <c r="K8" s="12" t="s">
        <v>36</v>
      </c>
      <c r="L8" s="13">
        <f>('Tax rates'!I28)</f>
        <v>0.48083722244354438</v>
      </c>
      <c r="M8" s="13"/>
      <c r="N8" s="13"/>
      <c r="O8" s="13"/>
      <c r="P8" s="12" t="s">
        <v>38</v>
      </c>
      <c r="Q8" s="13">
        <f>('Tax rates'!I30)</f>
        <v>0.59291665637691471</v>
      </c>
      <c r="R8" s="13">
        <f>('Tax rates'!R30)</f>
        <v>0.59065493074634412</v>
      </c>
      <c r="S8" s="13">
        <f>('Tax rates'!S30)</f>
        <v>2.261725630570588E-3</v>
      </c>
    </row>
    <row r="9" spans="1:19" x14ac:dyDescent="0.2">
      <c r="A9" s="12" t="s">
        <v>33</v>
      </c>
      <c r="B9" s="36">
        <f>('Tax rates'!I25)</f>
        <v>0.50352973542548629</v>
      </c>
      <c r="C9" s="13"/>
      <c r="D9" s="13"/>
      <c r="F9" s="15" t="s">
        <v>57</v>
      </c>
      <c r="G9" s="14">
        <f>AVERAGEA(G3:G7)</f>
        <v>0.66797776500902573</v>
      </c>
      <c r="H9" s="14">
        <f>AVERAGEA(H3:H7)</f>
        <v>0.69195723404182852</v>
      </c>
      <c r="I9" s="14">
        <f>AVERAGEA(I3:I7)</f>
        <v>-4.5956173821219137E-3</v>
      </c>
      <c r="K9" s="12"/>
      <c r="L9" s="13"/>
      <c r="M9" s="13"/>
      <c r="N9" s="13"/>
      <c r="O9" s="13"/>
      <c r="P9" s="12" t="s">
        <v>49</v>
      </c>
      <c r="Q9" s="13">
        <f>('Tax rates'!I41)</f>
        <v>0.46016310991042936</v>
      </c>
      <c r="R9" s="13">
        <f>('Tax rates'!R41)</f>
        <v>0.50802890534609346</v>
      </c>
      <c r="S9" s="13">
        <f>('Tax rates'!S41)</f>
        <v>-4.7865795435664105E-2</v>
      </c>
    </row>
    <row r="10" spans="1:19" x14ac:dyDescent="0.2">
      <c r="A10" s="12" t="s">
        <v>34</v>
      </c>
      <c r="B10" s="36">
        <f>('Tax rates'!I26)</f>
        <v>0.44451624326945371</v>
      </c>
      <c r="C10" s="13">
        <f>('Tax rates'!R26)</f>
        <v>0.50592962893166471</v>
      </c>
      <c r="D10" s="13">
        <f>('Tax rates'!S26)</f>
        <v>-6.1413385662210995E-2</v>
      </c>
      <c r="F10" s="15" t="s">
        <v>64</v>
      </c>
      <c r="G10" s="13">
        <f>(MAX(G3:G7))</f>
        <v>0.75703522156820402</v>
      </c>
      <c r="H10" s="13">
        <f>(MAX(H3:H7))</f>
        <v>0.75361762039366997</v>
      </c>
      <c r="I10" s="13">
        <f>(MAX(I3:I7))</f>
        <v>3.4176011745340462E-3</v>
      </c>
      <c r="K10" s="15" t="s">
        <v>57</v>
      </c>
      <c r="L10" s="14">
        <f>AVERAGEA(L3:L8)</f>
        <v>0.56127079063385632</v>
      </c>
      <c r="M10" s="14">
        <f>AVERAGEA(M3:M8)</f>
        <v>0.58409383631424094</v>
      </c>
      <c r="N10" s="14">
        <f>AVERAGEA(N3:N8)</f>
        <v>2.1091387768710584E-2</v>
      </c>
      <c r="O10" s="13"/>
    </row>
    <row r="11" spans="1:19" x14ac:dyDescent="0.2">
      <c r="A11" s="12" t="s">
        <v>22</v>
      </c>
      <c r="B11" s="36">
        <f>('Tax rates'!I14)</f>
        <v>0.54481184845457298</v>
      </c>
      <c r="C11" s="13"/>
      <c r="D11" s="13"/>
      <c r="F11" s="15" t="s">
        <v>65</v>
      </c>
      <c r="G11" s="13">
        <f>MIN(G3:G7)</f>
        <v>0.59044235840630221</v>
      </c>
      <c r="H11" s="13">
        <f>MIN(H3:H7)</f>
        <v>0.63288450408921904</v>
      </c>
      <c r="I11" s="13">
        <f>MIN(I3:I7)</f>
        <v>-1.1678129145242355E-2</v>
      </c>
      <c r="K11" s="15" t="s">
        <v>64</v>
      </c>
      <c r="L11" s="13">
        <f>(MAX(L3:L8))</f>
        <v>0.71770863811733709</v>
      </c>
      <c r="M11" s="13">
        <f>(MAX(M3:M8))</f>
        <v>0.73561692109632015</v>
      </c>
      <c r="N11" s="13">
        <f>(MAX(N3:N8))</f>
        <v>9.4488033476836097E-2</v>
      </c>
      <c r="O11" s="13"/>
    </row>
    <row r="12" spans="1:19" x14ac:dyDescent="0.2">
      <c r="A12" s="12" t="s">
        <v>45</v>
      </c>
      <c r="B12" s="36">
        <f>('Tax rates'!I37)</f>
        <v>0.73326254797239221</v>
      </c>
      <c r="C12" s="13">
        <f>('Tax rates'!R37)</f>
        <v>0.73419852189187951</v>
      </c>
      <c r="D12" s="13">
        <f>('Tax rates'!S37)</f>
        <v>-9.3597391948729847E-4</v>
      </c>
      <c r="K12" s="15" t="s">
        <v>65</v>
      </c>
      <c r="L12" s="13">
        <f>MIN(L3:L8)</f>
        <v>0.46604662502778715</v>
      </c>
      <c r="M12" s="13">
        <f>MIN(M3:M8)</f>
        <v>0.51923026979184783</v>
      </c>
      <c r="N12" s="13">
        <f>MIN(N3:N8)</f>
        <v>-1.7908282978983059E-2</v>
      </c>
      <c r="O12" s="13"/>
      <c r="P12" s="15" t="s">
        <v>57</v>
      </c>
      <c r="Q12" s="14">
        <f>AVERAGEA(Q3:Q9)</f>
        <v>0.60869875463055612</v>
      </c>
      <c r="R12" s="14">
        <f t="shared" ref="R12:S12" si="0">AVERAGEA(R3:R9)</f>
        <v>0.61284304367776221</v>
      </c>
      <c r="S12" s="14">
        <f t="shared" si="0"/>
        <v>-4.1442890472060245E-3</v>
      </c>
    </row>
    <row r="13" spans="1:19" x14ac:dyDescent="0.2">
      <c r="A13" s="12" t="s">
        <v>17</v>
      </c>
      <c r="B13" s="36">
        <f>('Tax rates'!I10)</f>
        <v>0.63973122914692249</v>
      </c>
      <c r="C13" s="13"/>
      <c r="D13" s="13"/>
      <c r="P13" s="15" t="s">
        <v>64</v>
      </c>
      <c r="Q13" s="13">
        <f>(MAX(Q3:Q9))</f>
        <v>0.72850146758704792</v>
      </c>
      <c r="R13" s="13">
        <f>(MAX(R3:R9))</f>
        <v>0.73937756378924524</v>
      </c>
      <c r="S13" s="13">
        <f>(MAX(S3:S9))</f>
        <v>1.4509063809594047E-2</v>
      </c>
    </row>
    <row r="14" spans="1:19" x14ac:dyDescent="0.2">
      <c r="F14" s="17" t="s">
        <v>76</v>
      </c>
      <c r="G14" s="12" t="s">
        <v>59</v>
      </c>
      <c r="H14" s="12" t="s">
        <v>70</v>
      </c>
      <c r="I14" s="12" t="s">
        <v>56</v>
      </c>
      <c r="P14" s="15" t="s">
        <v>65</v>
      </c>
      <c r="Q14" s="13">
        <f>MIN(Q3:Q9)</f>
        <v>0.46016310991042936</v>
      </c>
      <c r="R14" s="13">
        <f>MIN(R3:R9)</f>
        <v>0.50802890534609346</v>
      </c>
      <c r="S14" s="13">
        <f>MIN(S3:S9)</f>
        <v>-4.7865795435664105E-2</v>
      </c>
    </row>
    <row r="15" spans="1:19" x14ac:dyDescent="0.2">
      <c r="A15" s="15" t="s">
        <v>57</v>
      </c>
      <c r="B15" s="14">
        <f>AVERAGEA(B3:B13)</f>
        <v>0.515188749864114</v>
      </c>
      <c r="C15" s="14">
        <f>AVERAGEA(C3:C13)</f>
        <v>0.52316481095655909</v>
      </c>
      <c r="D15" s="14">
        <f>AVERAGEA(D3:D13)</f>
        <v>8.1234588921618358E-3</v>
      </c>
      <c r="F15" s="12" t="s">
        <v>51</v>
      </c>
      <c r="G15" s="13">
        <f>('Tax rates'!I43)</f>
        <v>0.59102915490647223</v>
      </c>
      <c r="H15" s="13">
        <f>('Tax rates'!R43)</f>
        <v>0.59248094966926135</v>
      </c>
      <c r="I15" s="13">
        <f>('Tax rates'!S43)</f>
        <v>-1.4517947627891159E-3</v>
      </c>
    </row>
    <row r="16" spans="1:19" x14ac:dyDescent="0.2">
      <c r="A16" s="15" t="s">
        <v>64</v>
      </c>
      <c r="B16" s="13">
        <f>(MAX(B3:B13))</f>
        <v>0.73326254797239221</v>
      </c>
      <c r="C16" s="13">
        <f>(MAX(C3:C13))</f>
        <v>0.73419852189187951</v>
      </c>
      <c r="D16" s="13">
        <f>(MAX(D3:D13))</f>
        <v>8.6527744635025661E-2</v>
      </c>
      <c r="E16" s="14">
        <f>AVERAGEA(D4,D5,D6,D10,D12)</f>
        <v>-7.5573982564109297E-3</v>
      </c>
      <c r="F16" s="12" t="s">
        <v>29</v>
      </c>
      <c r="G16" s="13">
        <f>('Tax rates'!I21)</f>
        <v>0.64348347325392996</v>
      </c>
      <c r="H16" s="13">
        <f>('Tax rates'!R21)</f>
        <v>0.64204423001125488</v>
      </c>
      <c r="I16" s="13">
        <f>('Tax rates'!S21)</f>
        <v>1.4392432426750812E-3</v>
      </c>
    </row>
    <row r="17" spans="1:21" x14ac:dyDescent="0.2">
      <c r="A17" s="15" t="s">
        <v>65</v>
      </c>
      <c r="B17" s="13">
        <f>MIN(B3:B13)</f>
        <v>0.28833916212509503</v>
      </c>
      <c r="C17" s="13">
        <f>MIN(C3:C12)</f>
        <v>0.36014057580001668</v>
      </c>
      <c r="D17" s="13">
        <f>MIN(D3:D12)</f>
        <v>-6.1413385662210995E-2</v>
      </c>
      <c r="F17" s="16" t="s">
        <v>52</v>
      </c>
      <c r="G17" s="13">
        <f>('Tax rates'!I44)</f>
        <v>0.47328666672459813</v>
      </c>
      <c r="H17" s="13">
        <f>('Tax rates'!R44)</f>
        <v>0.48401218210023228</v>
      </c>
      <c r="I17" s="13">
        <f>('Tax rates'!S44)</f>
        <v>-1.0725515375634154E-2</v>
      </c>
      <c r="P17" s="15" t="s">
        <v>75</v>
      </c>
      <c r="T17" s="18" t="s">
        <v>56</v>
      </c>
    </row>
    <row r="18" spans="1:21" x14ac:dyDescent="0.2">
      <c r="F18" s="16" t="s">
        <v>39</v>
      </c>
      <c r="G18" s="13">
        <f>('Tax rates'!I31)</f>
        <v>0.43636203864291812</v>
      </c>
      <c r="H18" s="13">
        <f>('Tax rates'!R31)</f>
        <v>0.43568020607780183</v>
      </c>
      <c r="I18" s="13">
        <f>('Tax rates'!S31)</f>
        <v>6.8183256511628043E-4</v>
      </c>
      <c r="L18" t="s">
        <v>58</v>
      </c>
      <c r="M18" s="12" t="s">
        <v>59</v>
      </c>
      <c r="N18" s="12" t="s">
        <v>70</v>
      </c>
      <c r="O18" s="12" t="s">
        <v>56</v>
      </c>
      <c r="P18" s="12" t="s">
        <v>68</v>
      </c>
      <c r="Q18" s="12" t="s">
        <v>71</v>
      </c>
      <c r="R18" s="12" t="s">
        <v>69</v>
      </c>
      <c r="S18" s="12" t="s">
        <v>72</v>
      </c>
      <c r="T18" s="12" t="s">
        <v>73</v>
      </c>
      <c r="U18" s="12" t="s">
        <v>74</v>
      </c>
    </row>
    <row r="19" spans="1:21" x14ac:dyDescent="0.2">
      <c r="F19" s="16" t="s">
        <v>10</v>
      </c>
      <c r="G19" s="13">
        <f>('Tax rates'!I4)</f>
        <v>0.53585904271550056</v>
      </c>
      <c r="H19" s="13">
        <f>('Tax rates'!R4)</f>
        <v>0.55213148765743636</v>
      </c>
      <c r="I19" s="13">
        <f>('Tax rates'!S4)</f>
        <v>-1.6272444941935804E-2</v>
      </c>
      <c r="L19" s="12" t="s">
        <v>66</v>
      </c>
      <c r="M19" s="13">
        <f>(B15)</f>
        <v>0.515188749864114</v>
      </c>
      <c r="N19" s="13">
        <f>(C15)</f>
        <v>0.52316481095655909</v>
      </c>
      <c r="O19" s="13">
        <f>(D15)</f>
        <v>8.1234588921618358E-3</v>
      </c>
      <c r="P19" s="13">
        <f>(B16-B15)</f>
        <v>0.21807379810827821</v>
      </c>
      <c r="Q19" s="13">
        <f>(B15-B17)</f>
        <v>0.22684958773901898</v>
      </c>
      <c r="R19" s="13">
        <f>(C16-C15)</f>
        <v>0.21103371093532042</v>
      </c>
      <c r="S19" s="13">
        <f>(C15-C17)</f>
        <v>0.16302423515654241</v>
      </c>
      <c r="T19" s="13">
        <f>(D16-D15)</f>
        <v>7.840428574286383E-2</v>
      </c>
      <c r="U19" s="13">
        <f>(D15-D17)</f>
        <v>6.9536844554372826E-2</v>
      </c>
    </row>
    <row r="20" spans="1:21" x14ac:dyDescent="0.2">
      <c r="F20" s="16" t="s">
        <v>15</v>
      </c>
      <c r="G20" s="13">
        <f>('Tax rates'!I8)</f>
        <v>0.54875875211985137</v>
      </c>
      <c r="H20" s="13">
        <f>('Tax rates'!R8)</f>
        <v>0.57601588006375581</v>
      </c>
      <c r="I20" s="13">
        <f>('Tax rates'!S8)</f>
        <v>-2.7257127943904447E-2</v>
      </c>
      <c r="L20" s="12" t="s">
        <v>67</v>
      </c>
      <c r="M20" s="13">
        <f>(G9)</f>
        <v>0.66797776500902573</v>
      </c>
      <c r="N20" s="13">
        <f>(H9)</f>
        <v>0.69195723404182852</v>
      </c>
      <c r="O20" s="13">
        <f>(I9)</f>
        <v>-4.5956173821219137E-3</v>
      </c>
      <c r="P20" s="13">
        <f>(G10-G9)</f>
        <v>8.9057456559178294E-2</v>
      </c>
      <c r="Q20" s="13">
        <f>(G9-G11)</f>
        <v>7.7535406602723511E-2</v>
      </c>
      <c r="R20" s="13">
        <f>(H10-H9)</f>
        <v>6.1660386351841456E-2</v>
      </c>
      <c r="S20" s="13">
        <f>(H9-H11)</f>
        <v>5.9072729952609482E-2</v>
      </c>
      <c r="T20" s="13">
        <f>(I10-I9)</f>
        <v>8.0132185566559599E-3</v>
      </c>
      <c r="U20" s="13">
        <f>(I9-I11)</f>
        <v>7.0825117631204415E-3</v>
      </c>
    </row>
    <row r="21" spans="1:21" x14ac:dyDescent="0.2">
      <c r="G21" s="14"/>
      <c r="H21" s="14"/>
      <c r="I21" s="14"/>
      <c r="L21" s="12" t="s">
        <v>76</v>
      </c>
      <c r="M21" s="13">
        <f>(G22)</f>
        <v>0.53812985472721175</v>
      </c>
      <c r="N21" s="13">
        <f>(H22)</f>
        <v>0.54706082259662381</v>
      </c>
      <c r="O21" s="13">
        <f>(I22)</f>
        <v>-8.9309678694120265E-3</v>
      </c>
      <c r="P21" s="13">
        <f>(G23-G22)</f>
        <v>0.10535361852671821</v>
      </c>
      <c r="Q21" s="13">
        <f>(G22-G24)</f>
        <v>0.10176781608429364</v>
      </c>
      <c r="R21" s="13">
        <f>(H23-H22)</f>
        <v>9.4983407414631071E-2</v>
      </c>
      <c r="S21" s="13">
        <f>(H22-H24)</f>
        <v>0.11138061651882197</v>
      </c>
      <c r="T21" s="13">
        <f>(I23-I22)</f>
        <v>1.0370211112087108E-2</v>
      </c>
      <c r="U21" s="13">
        <f>(I22-I24)</f>
        <v>1.832616007449242E-2</v>
      </c>
    </row>
    <row r="22" spans="1:21" x14ac:dyDescent="0.2">
      <c r="A22" s="12" t="s">
        <v>60</v>
      </c>
      <c r="B22" s="12" t="s">
        <v>59</v>
      </c>
      <c r="C22" s="12" t="s">
        <v>70</v>
      </c>
      <c r="D22" s="12" t="s">
        <v>56</v>
      </c>
      <c r="F22" s="15" t="s">
        <v>57</v>
      </c>
      <c r="G22" s="14">
        <f>AVERAGEA(G15:G20)</f>
        <v>0.53812985472721175</v>
      </c>
      <c r="H22" s="14">
        <f>AVERAGEA(H15:H20)</f>
        <v>0.54706082259662381</v>
      </c>
      <c r="I22" s="14">
        <f>AVERAGEA(Tabell8[Change])</f>
        <v>-8.9309678694120265E-3</v>
      </c>
      <c r="J22" s="14"/>
      <c r="L22" s="12" t="s">
        <v>62</v>
      </c>
      <c r="M22" s="13">
        <f>(L10)</f>
        <v>0.56127079063385632</v>
      </c>
      <c r="N22" s="13">
        <f>(M10)</f>
        <v>0.58409383631424094</v>
      </c>
      <c r="O22" s="13">
        <f>(N10)</f>
        <v>2.1091387768710584E-2</v>
      </c>
      <c r="P22" s="13">
        <f>(L11-L10)</f>
        <v>0.15643784748348077</v>
      </c>
      <c r="Q22" s="13">
        <f>(L10-L12)</f>
        <v>9.5224165606069167E-2</v>
      </c>
      <c r="R22" s="13">
        <f>(M11-M10)</f>
        <v>0.15152308478207921</v>
      </c>
      <c r="S22" s="13">
        <f>(M10-M12)</f>
        <v>6.4863566522393112E-2</v>
      </c>
      <c r="T22" s="13">
        <f>(N11-N10)</f>
        <v>7.3396645708125513E-2</v>
      </c>
      <c r="U22" s="13">
        <f>(N10-N12)</f>
        <v>3.8999670747693643E-2</v>
      </c>
    </row>
    <row r="23" spans="1:21" x14ac:dyDescent="0.2">
      <c r="A23" s="16" t="s">
        <v>16</v>
      </c>
      <c r="B23" s="36">
        <f>('Tax rates'!I9)</f>
        <v>0.44884622638275445</v>
      </c>
      <c r="C23" s="13"/>
      <c r="D23" s="13"/>
      <c r="F23" s="15" t="s">
        <v>64</v>
      </c>
      <c r="G23" s="13">
        <f>(MAX(G15:G20))</f>
        <v>0.64348347325392996</v>
      </c>
      <c r="H23" s="13">
        <f>(MAX(H15:H20))</f>
        <v>0.64204423001125488</v>
      </c>
      <c r="I23" s="13">
        <f>(MAX(I15:I20))</f>
        <v>1.4392432426750812E-3</v>
      </c>
      <c r="L23" s="12" t="s">
        <v>63</v>
      </c>
      <c r="M23" s="13">
        <f>(Q12)</f>
        <v>0.60869875463055612</v>
      </c>
      <c r="N23" s="13">
        <f>(R12)</f>
        <v>0.61284304367776221</v>
      </c>
      <c r="O23" s="13">
        <f>(S12)</f>
        <v>-4.1442890472060245E-3</v>
      </c>
      <c r="P23" s="13">
        <f>(Q13-Q12)</f>
        <v>0.11980271295649181</v>
      </c>
      <c r="Q23" s="13">
        <f>(Q12-Q14)</f>
        <v>0.14853564472012676</v>
      </c>
      <c r="R23" s="13">
        <f>(R13-R12)</f>
        <v>0.12653452011148303</v>
      </c>
      <c r="S23" s="13">
        <f>(R12-R14)</f>
        <v>0.10481413833166875</v>
      </c>
      <c r="T23" s="13">
        <f>(S13-S12)</f>
        <v>1.8653352856800073E-2</v>
      </c>
      <c r="U23" s="13">
        <f>(S12-S14)</f>
        <v>4.3721506388458078E-2</v>
      </c>
    </row>
    <row r="24" spans="1:21" x14ac:dyDescent="0.2">
      <c r="A24" s="16" t="s">
        <v>30</v>
      </c>
      <c r="B24" s="36">
        <f>('Tax rates'!I22)</f>
        <v>0.57632705646540272</v>
      </c>
      <c r="C24" s="13">
        <f>('Tax rates'!R22)</f>
        <v>0.59899999999999998</v>
      </c>
      <c r="D24" s="13">
        <f>('Tax rates'!S22)</f>
        <v>-2.2672943534597256E-2</v>
      </c>
      <c r="F24" s="15" t="s">
        <v>65</v>
      </c>
      <c r="G24" s="13">
        <f>MIN(G15:G20)</f>
        <v>0.43636203864291812</v>
      </c>
      <c r="H24" s="13">
        <f>MIN(H15:H20)</f>
        <v>0.43568020607780183</v>
      </c>
      <c r="I24" s="13">
        <f>MIN(I15:I20)</f>
        <v>-2.7257127943904447E-2</v>
      </c>
      <c r="L24" s="12" t="s">
        <v>60</v>
      </c>
      <c r="M24" s="13">
        <f>(B30)</f>
        <v>0.50640505305540384</v>
      </c>
      <c r="N24" s="13">
        <f>(C30)</f>
        <v>0.51842906304116632</v>
      </c>
      <c r="O24" s="13">
        <f>(D30)</f>
        <v>1.4098446571424519E-2</v>
      </c>
      <c r="P24" s="13">
        <f>(B31-B30)</f>
        <v>9.377245131460743E-2</v>
      </c>
      <c r="Q24" s="13">
        <f>(B30-B32)</f>
        <v>8.5148026079844674E-2</v>
      </c>
      <c r="R24" s="13">
        <f>(C31-C30)</f>
        <v>8.0570936958833661E-2</v>
      </c>
      <c r="S24" s="13">
        <f>(C30-C32)</f>
        <v>0.13269901769788711</v>
      </c>
      <c r="T24" s="13"/>
      <c r="U24" s="13"/>
    </row>
    <row r="25" spans="1:21" x14ac:dyDescent="0.2">
      <c r="A25" s="16" t="s">
        <v>32</v>
      </c>
      <c r="B25" s="36">
        <f>('Tax rates'!I24)</f>
        <v>0.60017750437001127</v>
      </c>
      <c r="C25" s="13">
        <f>('Tax rates'!R24)</f>
        <v>0.59832285248219075</v>
      </c>
      <c r="D25" s="13">
        <f>('Tax rates'!S24)</f>
        <v>1.8546518878205243E-3</v>
      </c>
    </row>
    <row r="26" spans="1:21" x14ac:dyDescent="0.2">
      <c r="A26" s="16" t="s">
        <v>37</v>
      </c>
      <c r="B26" s="36">
        <f>('Tax rates'!I29)</f>
        <v>0.42125702697555917</v>
      </c>
      <c r="C26" s="13">
        <f>('Tax rates'!R29)</f>
        <v>0.3857300453432792</v>
      </c>
      <c r="D26" s="13">
        <f>('Tax rates'!S29)</f>
        <v>3.5526981632279964E-2</v>
      </c>
    </row>
    <row r="27" spans="1:21" x14ac:dyDescent="0.2">
      <c r="A27" s="16" t="s">
        <v>46</v>
      </c>
      <c r="B27" s="36">
        <f>('Tax rates'!I38)</f>
        <v>0.53234845063938985</v>
      </c>
      <c r="C27" s="13">
        <f>('Tax rates'!R38)</f>
        <v>0.490663354339195</v>
      </c>
      <c r="D27" s="13">
        <f>('Tax rates'!S38)</f>
        <v>4.1685096300194846E-2</v>
      </c>
    </row>
    <row r="28" spans="1:21" x14ac:dyDescent="0.2">
      <c r="A28" s="16" t="s">
        <v>50</v>
      </c>
      <c r="B28" s="36">
        <f>('Tax rates'!I42)</f>
        <v>0.45947405349930504</v>
      </c>
      <c r="C28" s="13"/>
      <c r="D28" s="13"/>
    </row>
    <row r="30" spans="1:21" x14ac:dyDescent="0.2">
      <c r="A30" s="15" t="s">
        <v>57</v>
      </c>
      <c r="B30" s="14">
        <f>AVERAGEA(B23:B28)</f>
        <v>0.50640505305540384</v>
      </c>
      <c r="C30" s="14">
        <f>AVERAGEA(C23:C28)</f>
        <v>0.51842906304116632</v>
      </c>
      <c r="D30" s="14">
        <f>AVERAGEA(D23:D28)</f>
        <v>1.4098446571424519E-2</v>
      </c>
    </row>
    <row r="31" spans="1:21" x14ac:dyDescent="0.2">
      <c r="A31" s="15" t="s">
        <v>64</v>
      </c>
      <c r="B31" s="13">
        <f>(MAX(B23:B28))</f>
        <v>0.60017750437001127</v>
      </c>
      <c r="C31" s="13">
        <f>(MAX(C23:C28))</f>
        <v>0.59899999999999998</v>
      </c>
      <c r="D31" s="13">
        <f>(MAX(D23:D28))</f>
        <v>4.1685096300194846E-2</v>
      </c>
    </row>
    <row r="32" spans="1:21" x14ac:dyDescent="0.2">
      <c r="A32" s="15" t="s">
        <v>65</v>
      </c>
      <c r="B32" s="13">
        <f>MIN(B23:B28)</f>
        <v>0.42125702697555917</v>
      </c>
      <c r="C32" s="13">
        <f>MIN(C23:C28)</f>
        <v>0.3857300453432792</v>
      </c>
      <c r="D32" s="13">
        <f>MIN(D23:D28)</f>
        <v>-2.2672943534597256E-2</v>
      </c>
    </row>
    <row r="1048574" spans="2:2" x14ac:dyDescent="0.2">
      <c r="B1048574" s="13">
        <f>('Tax rates'!I1048560)</f>
        <v>0</v>
      </c>
    </row>
  </sheetData>
  <phoneticPr fontId="25" type="noConversion"/>
  <pageMargins left="0.7" right="0.7" top="0.75" bottom="0.75" header="0.3" footer="0.3"/>
  <pageSetup paperSize="9"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Tax rates</vt:lpstr>
      <vt:lpstr>Sorted diagram</vt:lpstr>
      <vt:lpstr>Sorted diagram (Europe)</vt:lpstr>
      <vt:lpstr>Sorted diagram (EU)</vt:lpstr>
      <vt:lpstr>Country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Fritzon</dc:creator>
  <cp:lastModifiedBy>Jacob Lundberg</cp:lastModifiedBy>
  <dcterms:created xsi:type="dcterms:W3CDTF">2019-08-06T16:04:57Z</dcterms:created>
  <dcterms:modified xsi:type="dcterms:W3CDTF">2019-10-15T11:33:58Z</dcterms:modified>
</cp:coreProperties>
</file>